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2.xml" ContentType="application/vnd.openxmlformats-officedocument.spreadsheetml.table+xml"/>
  <Override PartName="/xl/queryTables/queryTable1.xml" ContentType="application/vnd.openxmlformats-officedocument.spreadsheetml.query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https://imperiallondon.sharepoint.com/sites/OTs257/Shared Documents/James/02 - 19-20 Thomas/UnionBudgeting/"/>
    </mc:Choice>
  </mc:AlternateContent>
  <xr:revisionPtr revIDLastSave="1015" documentId="8_{94FF9975-9108-B34E-8B82-D6829B22DB9D}" xr6:coauthVersionLast="45" xr6:coauthVersionMax="45" xr10:uidLastSave="{D4B23481-7987-D549-962B-D117563504B2}"/>
  <bookViews>
    <workbookView xWindow="0" yWindow="460" windowWidth="25600" windowHeight="14720" activeTab="2" xr2:uid="{ECA97157-CC66-CC4E-8C70-DDAD656E34C2}"/>
  </bookViews>
  <sheets>
    <sheet name="Summary" sheetId="1" r:id="rId1"/>
    <sheet name="ADF Breakdown" sheetId="2" r:id="rId2"/>
    <sheet name="CSP Budgeting models" sheetId="6" r:id="rId3"/>
    <sheet name="ANNEX A_ADF (18-19 YTD 190628)" sheetId="3" r:id="rId4"/>
    <sheet name="ANNEX B_ADF (18-19 Whole Year)" sheetId="4" r:id="rId5"/>
    <sheet name="ANNEX C_ADF (Query)" sheetId="5" r:id="rId6"/>
    <sheet name="ANNEX D_CSP Budgets (PowerBI)" sheetId="7" r:id="rId7"/>
  </sheets>
  <definedNames>
    <definedName name="_xlnm._FilterDatabase" localSheetId="2" hidden="1">'CSP Budgeting models'!$H$28:$K$40</definedName>
    <definedName name="query__44" localSheetId="6" hidden="1">'ANNEX D_CSP Budgets (PowerBI)'!$C$1:$Q$376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7" i="1" l="1"/>
  <c r="B47" i="2"/>
  <c r="A48" i="2"/>
  <c r="A47" i="2"/>
  <c r="A29" i="1"/>
  <c r="B52" i="2"/>
  <c r="C16" i="1"/>
  <c r="D16" i="1"/>
  <c r="D17" i="1" s="1"/>
  <c r="B20" i="6" s="1"/>
  <c r="E16" i="1"/>
  <c r="C15" i="1"/>
  <c r="D15" i="1"/>
  <c r="E15" i="1"/>
  <c r="B16" i="1"/>
  <c r="B15" i="1"/>
  <c r="A30" i="1"/>
  <c r="B34" i="1"/>
  <c r="B30" i="1"/>
  <c r="U38" i="6"/>
  <c r="U39" i="6"/>
  <c r="U40" i="6"/>
  <c r="U41" i="6"/>
  <c r="A11" i="6"/>
  <c r="Z38" i="6"/>
  <c r="Z39" i="6"/>
  <c r="Z40" i="6"/>
  <c r="Z41" i="6"/>
  <c r="Z37" i="6"/>
  <c r="Z30" i="6"/>
  <c r="Z31" i="6"/>
  <c r="Z32" i="6"/>
  <c r="Z29" i="6"/>
  <c r="U37" i="6"/>
  <c r="U34" i="6"/>
  <c r="U33" i="6"/>
  <c r="U32" i="6"/>
  <c r="U31" i="6"/>
  <c r="U30" i="6"/>
  <c r="U29" i="6"/>
  <c r="P38" i="6"/>
  <c r="P39" i="6"/>
  <c r="P40" i="6"/>
  <c r="P37" i="6"/>
  <c r="P30" i="6"/>
  <c r="P31" i="6"/>
  <c r="P32" i="6"/>
  <c r="P33" i="6"/>
  <c r="P34" i="6"/>
  <c r="P29" i="6"/>
  <c r="K29" i="6"/>
  <c r="K30" i="6"/>
  <c r="K31" i="6"/>
  <c r="K32" i="6"/>
  <c r="K33" i="6"/>
  <c r="K34" i="6"/>
  <c r="K35" i="6"/>
  <c r="K36" i="6"/>
  <c r="K37" i="6"/>
  <c r="K38" i="6"/>
  <c r="K39" i="6"/>
  <c r="K40" i="6"/>
  <c r="B33" i="1"/>
  <c r="B29" i="1"/>
  <c r="B23" i="6"/>
  <c r="B24" i="6" s="1"/>
  <c r="B18" i="6"/>
  <c r="B19" i="6" s="1"/>
  <c r="B13" i="6"/>
  <c r="B14" i="6" s="1"/>
  <c r="A31" i="1"/>
  <c r="A21" i="6"/>
  <c r="A16" i="6"/>
  <c r="B38" i="1" l="1"/>
  <c r="B17" i="1"/>
  <c r="E17" i="1"/>
  <c r="B25" i="6" s="1"/>
  <c r="C17" i="1"/>
  <c r="B15" i="6" s="1"/>
  <c r="W2" i="7"/>
  <c r="W3" i="7"/>
  <c r="W4" i="7"/>
  <c r="W5" i="7"/>
  <c r="W6" i="7"/>
  <c r="W7" i="7"/>
  <c r="W8" i="7"/>
  <c r="W9" i="7"/>
  <c r="W10" i="7"/>
  <c r="W11" i="7"/>
  <c r="W12" i="7"/>
  <c r="W13" i="7"/>
  <c r="W14" i="7"/>
  <c r="W15" i="7"/>
  <c r="W16" i="7"/>
  <c r="W17" i="7"/>
  <c r="W18" i="7"/>
  <c r="W19" i="7"/>
  <c r="W20" i="7"/>
  <c r="W21" i="7"/>
  <c r="W22" i="7"/>
  <c r="W23" i="7"/>
  <c r="W24" i="7"/>
  <c r="W25" i="7"/>
  <c r="W26" i="7"/>
  <c r="W27" i="7"/>
  <c r="W28" i="7"/>
  <c r="W29" i="7"/>
  <c r="W30" i="7"/>
  <c r="W31" i="7"/>
  <c r="W32" i="7"/>
  <c r="W33" i="7"/>
  <c r="W34" i="7"/>
  <c r="W35" i="7"/>
  <c r="W36" i="7"/>
  <c r="W37" i="7"/>
  <c r="W38" i="7"/>
  <c r="W39" i="7"/>
  <c r="W40" i="7"/>
  <c r="W41" i="7"/>
  <c r="W42" i="7"/>
  <c r="W43" i="7"/>
  <c r="W44" i="7"/>
  <c r="W45" i="7"/>
  <c r="W46" i="7"/>
  <c r="W47" i="7"/>
  <c r="W48" i="7"/>
  <c r="W49" i="7"/>
  <c r="W50" i="7"/>
  <c r="W51" i="7"/>
  <c r="W52" i="7"/>
  <c r="W53" i="7"/>
  <c r="W54" i="7"/>
  <c r="W55" i="7"/>
  <c r="W56" i="7"/>
  <c r="W57" i="7"/>
  <c r="W58" i="7"/>
  <c r="W59" i="7"/>
  <c r="W60" i="7"/>
  <c r="W61" i="7"/>
  <c r="W62" i="7"/>
  <c r="W63" i="7"/>
  <c r="W64" i="7"/>
  <c r="W65" i="7"/>
  <c r="W66" i="7"/>
  <c r="W67" i="7"/>
  <c r="W68" i="7"/>
  <c r="W69" i="7"/>
  <c r="W70" i="7"/>
  <c r="W71" i="7"/>
  <c r="W72" i="7"/>
  <c r="W73" i="7"/>
  <c r="W74" i="7"/>
  <c r="W75" i="7"/>
  <c r="W76" i="7"/>
  <c r="W77" i="7"/>
  <c r="W78" i="7"/>
  <c r="W79" i="7"/>
  <c r="W80" i="7"/>
  <c r="W81" i="7"/>
  <c r="W82" i="7"/>
  <c r="W83" i="7"/>
  <c r="W84" i="7"/>
  <c r="W85" i="7"/>
  <c r="W86" i="7"/>
  <c r="W87" i="7"/>
  <c r="W88" i="7"/>
  <c r="W89" i="7"/>
  <c r="W90" i="7"/>
  <c r="W91" i="7"/>
  <c r="W92" i="7"/>
  <c r="W93" i="7"/>
  <c r="W94" i="7"/>
  <c r="W95" i="7"/>
  <c r="W96" i="7"/>
  <c r="W97" i="7"/>
  <c r="W98" i="7"/>
  <c r="W99" i="7"/>
  <c r="W100" i="7"/>
  <c r="W101" i="7"/>
  <c r="W102" i="7"/>
  <c r="W103" i="7"/>
  <c r="W104" i="7"/>
  <c r="W105" i="7"/>
  <c r="W106" i="7"/>
  <c r="W107" i="7"/>
  <c r="W108" i="7"/>
  <c r="W109" i="7"/>
  <c r="W110" i="7"/>
  <c r="W111" i="7"/>
  <c r="W112" i="7"/>
  <c r="W113" i="7"/>
  <c r="W114" i="7"/>
  <c r="W115" i="7"/>
  <c r="W116" i="7"/>
  <c r="W117" i="7"/>
  <c r="W118" i="7"/>
  <c r="W119" i="7"/>
  <c r="W120" i="7"/>
  <c r="W121" i="7"/>
  <c r="W122" i="7"/>
  <c r="W123" i="7"/>
  <c r="W124" i="7"/>
  <c r="W125" i="7"/>
  <c r="W126" i="7"/>
  <c r="W127" i="7"/>
  <c r="W128" i="7"/>
  <c r="W129" i="7"/>
  <c r="W130" i="7"/>
  <c r="W131" i="7"/>
  <c r="W132" i="7"/>
  <c r="W133" i="7"/>
  <c r="W134" i="7"/>
  <c r="W135" i="7"/>
  <c r="W136" i="7"/>
  <c r="W137" i="7"/>
  <c r="W138" i="7"/>
  <c r="W139" i="7"/>
  <c r="W140" i="7"/>
  <c r="W141" i="7"/>
  <c r="W142" i="7"/>
  <c r="W143" i="7"/>
  <c r="W144" i="7"/>
  <c r="W145" i="7"/>
  <c r="W146" i="7"/>
  <c r="W147" i="7"/>
  <c r="W148" i="7"/>
  <c r="W149" i="7"/>
  <c r="W150" i="7"/>
  <c r="W151" i="7"/>
  <c r="W152" i="7"/>
  <c r="W153" i="7"/>
  <c r="W154" i="7"/>
  <c r="W155" i="7"/>
  <c r="W156" i="7"/>
  <c r="W157" i="7"/>
  <c r="W158" i="7"/>
  <c r="W159" i="7"/>
  <c r="W160" i="7"/>
  <c r="W161" i="7"/>
  <c r="W162" i="7"/>
  <c r="W163" i="7"/>
  <c r="W164" i="7"/>
  <c r="W165" i="7"/>
  <c r="W166" i="7"/>
  <c r="W167" i="7"/>
  <c r="W168" i="7"/>
  <c r="W169" i="7"/>
  <c r="W170" i="7"/>
  <c r="W171" i="7"/>
  <c r="W172" i="7"/>
  <c r="W173" i="7"/>
  <c r="W174" i="7"/>
  <c r="W175" i="7"/>
  <c r="W176" i="7"/>
  <c r="W177" i="7"/>
  <c r="W178" i="7"/>
  <c r="W179" i="7"/>
  <c r="W180" i="7"/>
  <c r="W181" i="7"/>
  <c r="W182" i="7"/>
  <c r="W183" i="7"/>
  <c r="W184" i="7"/>
  <c r="W185" i="7"/>
  <c r="W186" i="7"/>
  <c r="W187" i="7"/>
  <c r="W188" i="7"/>
  <c r="W189" i="7"/>
  <c r="W190" i="7"/>
  <c r="W191" i="7"/>
  <c r="W192" i="7"/>
  <c r="W193" i="7"/>
  <c r="W194" i="7"/>
  <c r="W195" i="7"/>
  <c r="W196" i="7"/>
  <c r="W197" i="7"/>
  <c r="W198" i="7"/>
  <c r="W199" i="7"/>
  <c r="W200" i="7"/>
  <c r="W201" i="7"/>
  <c r="W202" i="7"/>
  <c r="W203" i="7"/>
  <c r="W204" i="7"/>
  <c r="W205" i="7"/>
  <c r="W206" i="7"/>
  <c r="W207" i="7"/>
  <c r="W208" i="7"/>
  <c r="W209" i="7"/>
  <c r="W210" i="7"/>
  <c r="W211" i="7"/>
  <c r="W212" i="7"/>
  <c r="W213" i="7"/>
  <c r="W214" i="7"/>
  <c r="W215" i="7"/>
  <c r="W216" i="7"/>
  <c r="W217" i="7"/>
  <c r="W218" i="7"/>
  <c r="W219" i="7"/>
  <c r="W220" i="7"/>
  <c r="W221" i="7"/>
  <c r="W222" i="7"/>
  <c r="W223" i="7"/>
  <c r="W224" i="7"/>
  <c r="W225" i="7"/>
  <c r="W226" i="7"/>
  <c r="W227" i="7"/>
  <c r="W228" i="7"/>
  <c r="W229" i="7"/>
  <c r="W230" i="7"/>
  <c r="W231" i="7"/>
  <c r="W232" i="7"/>
  <c r="W233" i="7"/>
  <c r="W234" i="7"/>
  <c r="W235" i="7"/>
  <c r="W236" i="7"/>
  <c r="W237" i="7"/>
  <c r="W238" i="7"/>
  <c r="W239" i="7"/>
  <c r="W240" i="7"/>
  <c r="W241" i="7"/>
  <c r="W242" i="7"/>
  <c r="W243" i="7"/>
  <c r="W244" i="7"/>
  <c r="W245" i="7"/>
  <c r="W246" i="7"/>
  <c r="W247" i="7"/>
  <c r="W248" i="7"/>
  <c r="W249" i="7"/>
  <c r="W250" i="7"/>
  <c r="W251" i="7"/>
  <c r="W252" i="7"/>
  <c r="W253" i="7"/>
  <c r="W254" i="7"/>
  <c r="W255" i="7"/>
  <c r="W256" i="7"/>
  <c r="W257" i="7"/>
  <c r="W258" i="7"/>
  <c r="W259" i="7"/>
  <c r="W260" i="7"/>
  <c r="W261" i="7"/>
  <c r="W262" i="7"/>
  <c r="W263" i="7"/>
  <c r="W264" i="7"/>
  <c r="W265" i="7"/>
  <c r="W266" i="7"/>
  <c r="W267" i="7"/>
  <c r="W268" i="7"/>
  <c r="W269" i="7"/>
  <c r="W270" i="7"/>
  <c r="W271" i="7"/>
  <c r="W272" i="7"/>
  <c r="W273" i="7"/>
  <c r="W274" i="7"/>
  <c r="W275" i="7"/>
  <c r="W276" i="7"/>
  <c r="W277" i="7"/>
  <c r="W278" i="7"/>
  <c r="W279" i="7"/>
  <c r="W280" i="7"/>
  <c r="W281" i="7"/>
  <c r="W282" i="7"/>
  <c r="W283" i="7"/>
  <c r="W284" i="7"/>
  <c r="W285" i="7"/>
  <c r="W286" i="7"/>
  <c r="W287" i="7"/>
  <c r="W288" i="7"/>
  <c r="W289" i="7"/>
  <c r="W290" i="7"/>
  <c r="W291" i="7"/>
  <c r="W292" i="7"/>
  <c r="W293" i="7"/>
  <c r="W294" i="7"/>
  <c r="W295" i="7"/>
  <c r="W296" i="7"/>
  <c r="W297" i="7"/>
  <c r="W298" i="7"/>
  <c r="W299" i="7"/>
  <c r="W300" i="7"/>
  <c r="W301" i="7"/>
  <c r="W302" i="7"/>
  <c r="W303" i="7"/>
  <c r="W304" i="7"/>
  <c r="W305" i="7"/>
  <c r="W306" i="7"/>
  <c r="W307" i="7"/>
  <c r="W308" i="7"/>
  <c r="W309" i="7"/>
  <c r="W310" i="7"/>
  <c r="W311" i="7"/>
  <c r="W312" i="7"/>
  <c r="W313" i="7"/>
  <c r="W314" i="7"/>
  <c r="W315" i="7"/>
  <c r="W316" i="7"/>
  <c r="W317" i="7"/>
  <c r="W318" i="7"/>
  <c r="W319" i="7"/>
  <c r="W320" i="7"/>
  <c r="W321" i="7"/>
  <c r="W322" i="7"/>
  <c r="W323" i="7"/>
  <c r="W324" i="7"/>
  <c r="W325" i="7"/>
  <c r="W326" i="7"/>
  <c r="W327" i="7"/>
  <c r="W328" i="7"/>
  <c r="W329" i="7"/>
  <c r="W330" i="7"/>
  <c r="W331" i="7"/>
  <c r="W332" i="7"/>
  <c r="W333" i="7"/>
  <c r="W334" i="7"/>
  <c r="W335" i="7"/>
  <c r="W336" i="7"/>
  <c r="W337" i="7"/>
  <c r="W338" i="7"/>
  <c r="W339" i="7"/>
  <c r="W340" i="7"/>
  <c r="W341" i="7"/>
  <c r="W342" i="7"/>
  <c r="W343" i="7"/>
  <c r="W344" i="7"/>
  <c r="W345" i="7"/>
  <c r="W346" i="7"/>
  <c r="W347" i="7"/>
  <c r="W348" i="7"/>
  <c r="W349" i="7"/>
  <c r="W350" i="7"/>
  <c r="W351" i="7"/>
  <c r="W352" i="7"/>
  <c r="W353" i="7"/>
  <c r="W354" i="7"/>
  <c r="W355" i="7"/>
  <c r="W356" i="7"/>
  <c r="W357" i="7"/>
  <c r="W358" i="7"/>
  <c r="W359" i="7"/>
  <c r="W360" i="7"/>
  <c r="W361" i="7"/>
  <c r="W362" i="7"/>
  <c r="W363" i="7"/>
  <c r="W364" i="7"/>
  <c r="W365" i="7"/>
  <c r="W366" i="7"/>
  <c r="W367" i="7"/>
  <c r="W368" i="7"/>
  <c r="W369" i="7"/>
  <c r="W370" i="7"/>
  <c r="W371" i="7"/>
  <c r="W372" i="7"/>
  <c r="W373" i="7"/>
  <c r="W374" i="7"/>
  <c r="W375" i="7"/>
  <c r="W376" i="7"/>
  <c r="U2" i="7"/>
  <c r="U3" i="7"/>
  <c r="U4" i="7"/>
  <c r="U5" i="7"/>
  <c r="U6" i="7"/>
  <c r="U7" i="7"/>
  <c r="U8" i="7"/>
  <c r="U9" i="7"/>
  <c r="U10" i="7"/>
  <c r="U11" i="7"/>
  <c r="U12" i="7"/>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U60" i="7"/>
  <c r="U61" i="7"/>
  <c r="U62" i="7"/>
  <c r="U63" i="7"/>
  <c r="U64" i="7"/>
  <c r="U65" i="7"/>
  <c r="U66" i="7"/>
  <c r="U67" i="7"/>
  <c r="U68" i="7"/>
  <c r="U69" i="7"/>
  <c r="U70" i="7"/>
  <c r="U71" i="7"/>
  <c r="U72" i="7"/>
  <c r="U73" i="7"/>
  <c r="U74" i="7"/>
  <c r="U75" i="7"/>
  <c r="U76" i="7"/>
  <c r="U77" i="7"/>
  <c r="U78" i="7"/>
  <c r="U79" i="7"/>
  <c r="U80" i="7"/>
  <c r="U81" i="7"/>
  <c r="U82" i="7"/>
  <c r="U83" i="7"/>
  <c r="U84" i="7"/>
  <c r="U85" i="7"/>
  <c r="U86" i="7"/>
  <c r="U87" i="7"/>
  <c r="U88" i="7"/>
  <c r="U89" i="7"/>
  <c r="U90" i="7"/>
  <c r="U91" i="7"/>
  <c r="U92" i="7"/>
  <c r="U93" i="7"/>
  <c r="U94" i="7"/>
  <c r="U95" i="7"/>
  <c r="U96" i="7"/>
  <c r="U97" i="7"/>
  <c r="U98" i="7"/>
  <c r="U99" i="7"/>
  <c r="U100" i="7"/>
  <c r="U101" i="7"/>
  <c r="U102" i="7"/>
  <c r="U103" i="7"/>
  <c r="U104" i="7"/>
  <c r="U105" i="7"/>
  <c r="U106" i="7"/>
  <c r="U107" i="7"/>
  <c r="U108" i="7"/>
  <c r="U109" i="7"/>
  <c r="U110" i="7"/>
  <c r="U111" i="7"/>
  <c r="U112" i="7"/>
  <c r="U113" i="7"/>
  <c r="U114" i="7"/>
  <c r="U115" i="7"/>
  <c r="U116" i="7"/>
  <c r="U117" i="7"/>
  <c r="U118" i="7"/>
  <c r="U119" i="7"/>
  <c r="U120" i="7"/>
  <c r="U121" i="7"/>
  <c r="U122" i="7"/>
  <c r="U123" i="7"/>
  <c r="U124" i="7"/>
  <c r="U125" i="7"/>
  <c r="U126" i="7"/>
  <c r="U127" i="7"/>
  <c r="U128" i="7"/>
  <c r="U129" i="7"/>
  <c r="U130" i="7"/>
  <c r="U131" i="7"/>
  <c r="U132" i="7"/>
  <c r="U133" i="7"/>
  <c r="U134" i="7"/>
  <c r="U135" i="7"/>
  <c r="U136" i="7"/>
  <c r="U137" i="7"/>
  <c r="U138" i="7"/>
  <c r="U139" i="7"/>
  <c r="U140" i="7"/>
  <c r="U141" i="7"/>
  <c r="U142" i="7"/>
  <c r="U143" i="7"/>
  <c r="U144" i="7"/>
  <c r="U145" i="7"/>
  <c r="U146" i="7"/>
  <c r="U147" i="7"/>
  <c r="U148" i="7"/>
  <c r="U149" i="7"/>
  <c r="U150" i="7"/>
  <c r="U151" i="7"/>
  <c r="U152" i="7"/>
  <c r="U153" i="7"/>
  <c r="U154" i="7"/>
  <c r="U155" i="7"/>
  <c r="U156" i="7"/>
  <c r="U157" i="7"/>
  <c r="U158" i="7"/>
  <c r="U159" i="7"/>
  <c r="U160" i="7"/>
  <c r="U161" i="7"/>
  <c r="U162" i="7"/>
  <c r="U163" i="7"/>
  <c r="U164" i="7"/>
  <c r="U165" i="7"/>
  <c r="U166" i="7"/>
  <c r="U167" i="7"/>
  <c r="U168" i="7"/>
  <c r="U169" i="7"/>
  <c r="U170" i="7"/>
  <c r="U171" i="7"/>
  <c r="U172" i="7"/>
  <c r="U173" i="7"/>
  <c r="U174" i="7"/>
  <c r="U175" i="7"/>
  <c r="U176" i="7"/>
  <c r="U177" i="7"/>
  <c r="U178" i="7"/>
  <c r="U179" i="7"/>
  <c r="U180" i="7"/>
  <c r="U181" i="7"/>
  <c r="U182" i="7"/>
  <c r="U183" i="7"/>
  <c r="U184" i="7"/>
  <c r="U185" i="7"/>
  <c r="U186" i="7"/>
  <c r="U187" i="7"/>
  <c r="U188" i="7"/>
  <c r="U189" i="7"/>
  <c r="U190" i="7"/>
  <c r="U191" i="7"/>
  <c r="U192" i="7"/>
  <c r="U193" i="7"/>
  <c r="U194" i="7"/>
  <c r="U195" i="7"/>
  <c r="U196" i="7"/>
  <c r="U197" i="7"/>
  <c r="U198" i="7"/>
  <c r="U199" i="7"/>
  <c r="U200" i="7"/>
  <c r="U201" i="7"/>
  <c r="U202" i="7"/>
  <c r="U203" i="7"/>
  <c r="U204" i="7"/>
  <c r="U205" i="7"/>
  <c r="U206" i="7"/>
  <c r="U207" i="7"/>
  <c r="U208" i="7"/>
  <c r="U209" i="7"/>
  <c r="U210" i="7"/>
  <c r="U211" i="7"/>
  <c r="U212" i="7"/>
  <c r="U213" i="7"/>
  <c r="U214" i="7"/>
  <c r="U215" i="7"/>
  <c r="U216" i="7"/>
  <c r="U217" i="7"/>
  <c r="U218" i="7"/>
  <c r="U219" i="7"/>
  <c r="U220" i="7"/>
  <c r="U221" i="7"/>
  <c r="U222" i="7"/>
  <c r="U223" i="7"/>
  <c r="U224" i="7"/>
  <c r="U225" i="7"/>
  <c r="U226" i="7"/>
  <c r="U227" i="7"/>
  <c r="U228" i="7"/>
  <c r="U229" i="7"/>
  <c r="U230" i="7"/>
  <c r="U231" i="7"/>
  <c r="U232" i="7"/>
  <c r="U233" i="7"/>
  <c r="U234" i="7"/>
  <c r="U235" i="7"/>
  <c r="U236" i="7"/>
  <c r="U237" i="7"/>
  <c r="U238" i="7"/>
  <c r="U239" i="7"/>
  <c r="U240" i="7"/>
  <c r="U241" i="7"/>
  <c r="U242" i="7"/>
  <c r="U243" i="7"/>
  <c r="U244" i="7"/>
  <c r="U245" i="7"/>
  <c r="U246" i="7"/>
  <c r="U247" i="7"/>
  <c r="U248" i="7"/>
  <c r="U249" i="7"/>
  <c r="U250" i="7"/>
  <c r="U251" i="7"/>
  <c r="U252" i="7"/>
  <c r="U253" i="7"/>
  <c r="U254" i="7"/>
  <c r="U255" i="7"/>
  <c r="U256" i="7"/>
  <c r="U257" i="7"/>
  <c r="U258" i="7"/>
  <c r="U259" i="7"/>
  <c r="U260" i="7"/>
  <c r="U261" i="7"/>
  <c r="U262" i="7"/>
  <c r="U263" i="7"/>
  <c r="U264" i="7"/>
  <c r="U265" i="7"/>
  <c r="U266" i="7"/>
  <c r="U267" i="7"/>
  <c r="U268" i="7"/>
  <c r="U269" i="7"/>
  <c r="U270" i="7"/>
  <c r="U271" i="7"/>
  <c r="U272" i="7"/>
  <c r="U273" i="7"/>
  <c r="U274" i="7"/>
  <c r="U275" i="7"/>
  <c r="U276" i="7"/>
  <c r="U277" i="7"/>
  <c r="U278" i="7"/>
  <c r="U279" i="7"/>
  <c r="U280" i="7"/>
  <c r="U281" i="7"/>
  <c r="U282" i="7"/>
  <c r="U283" i="7"/>
  <c r="U284" i="7"/>
  <c r="U285" i="7"/>
  <c r="U286" i="7"/>
  <c r="U287" i="7"/>
  <c r="U288" i="7"/>
  <c r="U289" i="7"/>
  <c r="U290" i="7"/>
  <c r="U291" i="7"/>
  <c r="U292" i="7"/>
  <c r="U293" i="7"/>
  <c r="U294" i="7"/>
  <c r="U295" i="7"/>
  <c r="U296" i="7"/>
  <c r="U297" i="7"/>
  <c r="U298" i="7"/>
  <c r="U299" i="7"/>
  <c r="U300" i="7"/>
  <c r="U301" i="7"/>
  <c r="U302" i="7"/>
  <c r="U303" i="7"/>
  <c r="U304" i="7"/>
  <c r="U305" i="7"/>
  <c r="U306" i="7"/>
  <c r="U307" i="7"/>
  <c r="U308" i="7"/>
  <c r="U309" i="7"/>
  <c r="U310" i="7"/>
  <c r="U311" i="7"/>
  <c r="U312" i="7"/>
  <c r="U313" i="7"/>
  <c r="U314" i="7"/>
  <c r="U315" i="7"/>
  <c r="U316" i="7"/>
  <c r="U317" i="7"/>
  <c r="U318" i="7"/>
  <c r="U319" i="7"/>
  <c r="U320" i="7"/>
  <c r="U321" i="7"/>
  <c r="U322" i="7"/>
  <c r="U323" i="7"/>
  <c r="U324" i="7"/>
  <c r="U325" i="7"/>
  <c r="U326" i="7"/>
  <c r="U327" i="7"/>
  <c r="U328" i="7"/>
  <c r="U329" i="7"/>
  <c r="U330" i="7"/>
  <c r="U331" i="7"/>
  <c r="U332" i="7"/>
  <c r="U333" i="7"/>
  <c r="U334" i="7"/>
  <c r="U335" i="7"/>
  <c r="U336" i="7"/>
  <c r="U337" i="7"/>
  <c r="U338" i="7"/>
  <c r="U339" i="7"/>
  <c r="U340" i="7"/>
  <c r="U341" i="7"/>
  <c r="U342" i="7"/>
  <c r="U343" i="7"/>
  <c r="U344" i="7"/>
  <c r="U345" i="7"/>
  <c r="U346" i="7"/>
  <c r="U347" i="7"/>
  <c r="U348" i="7"/>
  <c r="U349" i="7"/>
  <c r="U350" i="7"/>
  <c r="U351" i="7"/>
  <c r="U352" i="7"/>
  <c r="U353" i="7"/>
  <c r="U354" i="7"/>
  <c r="U355" i="7"/>
  <c r="U356" i="7"/>
  <c r="U357" i="7"/>
  <c r="U358" i="7"/>
  <c r="U359" i="7"/>
  <c r="U360" i="7"/>
  <c r="U361" i="7"/>
  <c r="U362" i="7"/>
  <c r="U363" i="7"/>
  <c r="U364" i="7"/>
  <c r="U365" i="7"/>
  <c r="U366" i="7"/>
  <c r="U367" i="7"/>
  <c r="U368" i="7"/>
  <c r="U369" i="7"/>
  <c r="U370" i="7"/>
  <c r="U371" i="7"/>
  <c r="U372" i="7"/>
  <c r="U373" i="7"/>
  <c r="U374" i="7"/>
  <c r="U375" i="7"/>
  <c r="U376" i="7"/>
  <c r="S2" i="7"/>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B35" i="6" l="1"/>
  <c r="D35" i="6" s="1"/>
  <c r="B41" i="6"/>
  <c r="D41" i="6" s="1"/>
  <c r="B42" i="6"/>
  <c r="E42" i="6" s="1"/>
  <c r="B40" i="6"/>
  <c r="C40" i="6" s="1"/>
  <c r="B39" i="6"/>
  <c r="C39" i="6" s="1"/>
  <c r="B38" i="6"/>
  <c r="E38" i="6" s="1"/>
  <c r="B37" i="6"/>
  <c r="E37" i="6" s="1"/>
  <c r="B36" i="6"/>
  <c r="E36" i="6" s="1"/>
  <c r="B34" i="6"/>
  <c r="E34" i="6" s="1"/>
  <c r="B33" i="6"/>
  <c r="E33" i="6" s="1"/>
  <c r="B32" i="6"/>
  <c r="E32" i="6" s="1"/>
  <c r="C38" i="6" l="1"/>
  <c r="D39" i="6"/>
  <c r="E40" i="6"/>
  <c r="C37" i="6"/>
  <c r="D38" i="6"/>
  <c r="E39" i="6"/>
  <c r="C36" i="6"/>
  <c r="D37" i="6"/>
  <c r="D40" i="6"/>
  <c r="E41" i="6"/>
  <c r="C35" i="6"/>
  <c r="D36" i="6"/>
  <c r="C33" i="6"/>
  <c r="D34" i="6"/>
  <c r="E35" i="6"/>
  <c r="C34" i="6"/>
  <c r="C32" i="6"/>
  <c r="D33" i="6"/>
  <c r="D32" i="6"/>
  <c r="C42" i="6"/>
  <c r="C41" i="6"/>
  <c r="D42" i="6"/>
  <c r="B31" i="6" l="1"/>
  <c r="B30" i="6"/>
  <c r="K377" i="7"/>
  <c r="E30" i="6" l="1"/>
  <c r="D30" i="6"/>
  <c r="C30" i="6"/>
  <c r="E31" i="6"/>
  <c r="D31" i="6"/>
  <c r="C31" i="6"/>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H381" i="7"/>
  <c r="B24" i="1" l="1"/>
  <c r="B23" i="1"/>
  <c r="B19" i="2"/>
  <c r="F245" i="4"/>
  <c r="F182" i="4"/>
  <c r="F178" i="4"/>
  <c r="F166" i="4"/>
  <c r="F171" i="4" s="1"/>
  <c r="F103" i="4"/>
  <c r="F18" i="4"/>
  <c r="F17" i="4"/>
  <c r="F14"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F46" i="4" s="1"/>
  <c r="F57" i="4" s="1"/>
  <c r="E47" i="4"/>
  <c r="E48" i="4"/>
  <c r="E49" i="4"/>
  <c r="E50" i="4"/>
  <c r="E51" i="4"/>
  <c r="E52" i="4"/>
  <c r="E53" i="4"/>
  <c r="E54" i="4"/>
  <c r="E55" i="4"/>
  <c r="E56" i="4"/>
  <c r="E57" i="4"/>
  <c r="E58" i="4"/>
  <c r="E59" i="4"/>
  <c r="E60" i="4"/>
  <c r="E61" i="4"/>
  <c r="E62" i="4"/>
  <c r="E63" i="4"/>
  <c r="E64" i="4"/>
  <c r="E65" i="4"/>
  <c r="E66" i="4"/>
  <c r="E67" i="4"/>
  <c r="E68" i="4"/>
  <c r="E69" i="4"/>
  <c r="E70" i="4"/>
  <c r="E71" i="4"/>
  <c r="E72" i="4"/>
  <c r="F72" i="4" s="1"/>
  <c r="E73" i="4"/>
  <c r="F73" i="4" s="1"/>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F115" i="4" s="1"/>
  <c r="E116" i="4"/>
  <c r="E117" i="4"/>
  <c r="E118" i="4"/>
  <c r="E119" i="4"/>
  <c r="E120" i="4"/>
  <c r="E121" i="4"/>
  <c r="E122" i="4"/>
  <c r="E123" i="4"/>
  <c r="E124" i="4"/>
  <c r="E125" i="4"/>
  <c r="E126" i="4"/>
  <c r="E127" i="4"/>
  <c r="E128" i="4"/>
  <c r="E129" i="4"/>
  <c r="E130" i="4"/>
  <c r="E131" i="4"/>
  <c r="E132" i="4"/>
  <c r="F132" i="4" s="1"/>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F212" i="4" s="1"/>
  <c r="F220" i="4" s="1"/>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F242" i="4" s="1"/>
  <c r="E243" i="4"/>
  <c r="E244" i="4"/>
  <c r="E245" i="4"/>
  <c r="E246" i="4"/>
  <c r="E247" i="4"/>
  <c r="E248" i="4"/>
  <c r="E249" i="4"/>
  <c r="E250" i="4"/>
  <c r="E251" i="4"/>
  <c r="E252" i="4"/>
  <c r="E253" i="4"/>
  <c r="E254" i="4"/>
  <c r="E255" i="4"/>
  <c r="E256" i="4"/>
  <c r="E257" i="4"/>
  <c r="E258" i="4"/>
  <c r="E259" i="4"/>
  <c r="E260" i="4"/>
  <c r="E261" i="4"/>
  <c r="E262" i="4"/>
  <c r="E263" i="4"/>
  <c r="E264" i="4"/>
  <c r="E265" i="4"/>
  <c r="E266" i="4"/>
  <c r="F266" i="4" s="1"/>
  <c r="E267" i="4"/>
  <c r="E268" i="4"/>
  <c r="E269" i="4"/>
  <c r="F269" i="4" s="1"/>
  <c r="E270" i="4"/>
  <c r="E271" i="4"/>
  <c r="E272" i="4"/>
  <c r="E273" i="4"/>
  <c r="E274" i="4"/>
  <c r="F274" i="4" s="1"/>
  <c r="E275" i="4"/>
  <c r="E276" i="4"/>
  <c r="E277" i="4"/>
  <c r="E278" i="4"/>
  <c r="E279" i="4"/>
  <c r="E280" i="4"/>
  <c r="E281" i="4"/>
  <c r="E282" i="4"/>
  <c r="E283" i="4"/>
  <c r="E284" i="4"/>
  <c r="E285" i="4"/>
  <c r="E286" i="4"/>
  <c r="F175" i="4"/>
  <c r="F230" i="4"/>
  <c r="E3" i="4"/>
  <c r="E4" i="4"/>
  <c r="E5" i="4"/>
  <c r="E6" i="4"/>
  <c r="E7" i="4"/>
  <c r="E8" i="4"/>
  <c r="E9" i="4"/>
  <c r="E10" i="4"/>
  <c r="E11" i="4"/>
  <c r="E12" i="4"/>
  <c r="E13" i="4"/>
  <c r="F286" i="4" l="1"/>
  <c r="F146" i="4"/>
  <c r="F75" i="4"/>
  <c r="F229" i="4"/>
  <c r="E56" i="2" s="1"/>
  <c r="F102" i="4"/>
  <c r="G57" i="3"/>
  <c r="E36" i="2" s="1"/>
  <c r="B42" i="2"/>
  <c r="B41" i="2"/>
  <c r="B40" i="2"/>
  <c r="B55" i="2" s="1"/>
  <c r="B37" i="2"/>
  <c r="B36" i="2"/>
  <c r="B35" i="2"/>
  <c r="B34" i="2"/>
  <c r="B33" i="2"/>
  <c r="B32" i="2"/>
  <c r="E59" i="2"/>
  <c r="A49" i="2"/>
  <c r="A50" i="2"/>
  <c r="A51" i="2"/>
  <c r="A52" i="2"/>
  <c r="A53" i="2"/>
  <c r="A54" i="2"/>
  <c r="A55" i="2"/>
  <c r="A56" i="2"/>
  <c r="A57" i="2"/>
  <c r="A58" i="2"/>
  <c r="A59" i="2"/>
  <c r="E55" i="2"/>
  <c r="D59" i="2"/>
  <c r="D48" i="2"/>
  <c r="D49" i="2"/>
  <c r="D50" i="2"/>
  <c r="D51" i="2"/>
  <c r="D52" i="2"/>
  <c r="D53" i="2"/>
  <c r="D54" i="2"/>
  <c r="D55" i="2"/>
  <c r="D56" i="2"/>
  <c r="D57" i="2"/>
  <c r="D58" i="2"/>
  <c r="D47" i="2"/>
  <c r="D33" i="2"/>
  <c r="D34" i="2"/>
  <c r="D35" i="2"/>
  <c r="D36" i="2"/>
  <c r="D37" i="2"/>
  <c r="D38" i="2"/>
  <c r="D39" i="2"/>
  <c r="D40" i="2"/>
  <c r="D41" i="2"/>
  <c r="D42" i="2"/>
  <c r="D43" i="2"/>
  <c r="D44" i="2"/>
  <c r="D32" i="2"/>
  <c r="E58" i="2"/>
  <c r="E2" i="4"/>
  <c r="F32" i="4" s="1"/>
  <c r="E51" i="2"/>
  <c r="E54" i="2"/>
  <c r="E50" i="2"/>
  <c r="E57" i="2"/>
  <c r="E49" i="2"/>
  <c r="E53" i="2"/>
  <c r="E52" i="2"/>
  <c r="E48" i="2"/>
  <c r="C287" i="4"/>
  <c r="D287" i="4"/>
  <c r="E287" i="3"/>
  <c r="F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G75" i="3"/>
  <c r="E39" i="2" s="1"/>
  <c r="F58" i="3"/>
  <c r="F59" i="3"/>
  <c r="F60" i="3"/>
  <c r="F61" i="3"/>
  <c r="F62" i="3"/>
  <c r="F63" i="3"/>
  <c r="F64" i="3"/>
  <c r="F65" i="3"/>
  <c r="F66" i="3"/>
  <c r="F67" i="3"/>
  <c r="F68" i="3"/>
  <c r="F69" i="3"/>
  <c r="F70" i="3"/>
  <c r="F71" i="3"/>
  <c r="F72" i="3"/>
  <c r="F73" i="3"/>
  <c r="F74" i="3"/>
  <c r="F75" i="3"/>
  <c r="F76" i="3"/>
  <c r="G102" i="3"/>
  <c r="E35" i="2" s="1"/>
  <c r="F77" i="3"/>
  <c r="F78" i="3"/>
  <c r="F79" i="3"/>
  <c r="F80" i="3"/>
  <c r="F81" i="3"/>
  <c r="F82" i="3"/>
  <c r="F83" i="3"/>
  <c r="F84" i="3"/>
  <c r="F85" i="3"/>
  <c r="F86" i="3"/>
  <c r="F87" i="3"/>
  <c r="F88" i="3"/>
  <c r="F89" i="3"/>
  <c r="F90" i="3"/>
  <c r="F91" i="3"/>
  <c r="F92" i="3"/>
  <c r="F93" i="3"/>
  <c r="F94" i="3"/>
  <c r="F95" i="3"/>
  <c r="F96" i="3"/>
  <c r="F97" i="3"/>
  <c r="F98" i="3"/>
  <c r="F99" i="3"/>
  <c r="F100" i="3"/>
  <c r="F101" i="3"/>
  <c r="F102" i="3"/>
  <c r="G103" i="3"/>
  <c r="E43" i="2" s="1"/>
  <c r="F103" i="3"/>
  <c r="G146" i="3"/>
  <c r="E42" i="2" s="1"/>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G171" i="3"/>
  <c r="E34" i="2" s="1"/>
  <c r="F147" i="3"/>
  <c r="F148" i="3"/>
  <c r="F149" i="3"/>
  <c r="F150" i="3"/>
  <c r="F151" i="3"/>
  <c r="F152" i="3"/>
  <c r="F153" i="3"/>
  <c r="F154" i="3"/>
  <c r="F155" i="3"/>
  <c r="F156" i="3"/>
  <c r="F157" i="3"/>
  <c r="F158" i="3"/>
  <c r="F159" i="3"/>
  <c r="F160" i="3"/>
  <c r="F161" i="3"/>
  <c r="F162" i="3"/>
  <c r="F163" i="3"/>
  <c r="F164" i="3"/>
  <c r="F165" i="3"/>
  <c r="F166" i="3"/>
  <c r="F167" i="3"/>
  <c r="F168" i="3"/>
  <c r="F169" i="3"/>
  <c r="F170" i="3"/>
  <c r="F171" i="3"/>
  <c r="G175" i="3"/>
  <c r="E38" i="2" s="1"/>
  <c r="F172" i="3"/>
  <c r="F173" i="3"/>
  <c r="F174" i="3"/>
  <c r="F175" i="3"/>
  <c r="G182" i="3"/>
  <c r="E40" i="2" s="1"/>
  <c r="F176" i="3"/>
  <c r="F177" i="3"/>
  <c r="F178" i="3"/>
  <c r="F179" i="3"/>
  <c r="F180" i="3"/>
  <c r="F181" i="3"/>
  <c r="F182" i="3"/>
  <c r="G220" i="3"/>
  <c r="E37" i="2" s="1"/>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G229" i="3"/>
  <c r="E41" i="2" s="1"/>
  <c r="F221" i="3"/>
  <c r="F222" i="3"/>
  <c r="F223" i="3"/>
  <c r="F224" i="3"/>
  <c r="F225" i="3"/>
  <c r="F226" i="3"/>
  <c r="F227" i="3"/>
  <c r="F228" i="3"/>
  <c r="F229" i="3"/>
  <c r="G230" i="3"/>
  <c r="E44" i="2" s="1"/>
  <c r="F230" i="3"/>
  <c r="F231" i="3"/>
  <c r="F232" i="3"/>
  <c r="G286" i="3"/>
  <c r="E33" i="2" s="1"/>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C287" i="3"/>
  <c r="D287" i="3"/>
  <c r="F287" i="3" l="1"/>
  <c r="B58" i="2"/>
  <c r="B57" i="2"/>
  <c r="G32" i="3"/>
  <c r="E32" i="2" s="1"/>
  <c r="E31" i="2" s="1"/>
  <c r="E47" i="2"/>
  <c r="E46" i="2" s="1"/>
  <c r="G46" i="2" s="1"/>
  <c r="B51" i="2"/>
  <c r="B56" i="2"/>
  <c r="B48" i="2"/>
  <c r="B49" i="2"/>
  <c r="B50" i="2"/>
  <c r="B54" i="2"/>
  <c r="E287" i="4"/>
  <c r="B31" i="2"/>
  <c r="B16" i="2"/>
  <c r="B12" i="2"/>
  <c r="B15" i="2"/>
  <c r="B17" i="2" l="1"/>
  <c r="B9" i="1"/>
  <c r="G287" i="3"/>
  <c r="B59" i="2"/>
  <c r="B46" i="2" l="1"/>
  <c r="B26" i="2" s="1"/>
  <c r="B22" i="2"/>
  <c r="D26" i="2" l="1"/>
  <c r="B11" i="1"/>
  <c r="B25" i="2"/>
  <c r="B10" i="1" s="1"/>
  <c r="B25" i="1"/>
  <c r="B27" i="2" l="1"/>
  <c r="B12" i="1" s="1"/>
  <c r="B31" i="1" l="1"/>
  <c r="B39" i="1"/>
  <c r="B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tc={239CF5D2-CF46-344C-B786-1676CD82ECDF}</author>
    <author>Tom Bacarese-Hamilton - Deputy President (C&amp;S)</author>
  </authors>
  <commentList>
    <comment ref="B12" authorId="0" shapeId="0" xr:uid="{239CF5D2-CF46-344C-B786-1676CD82ECDF}">
      <text>
        <t>[Threaded comment]
Your version of Excel allows you to read this threaded comment; however, any edits to it will get removed if the file is opened in a newer version of Excel. Learn more: https://go.microsoft.com/fwlink/?linkid=870924
Comment:
    Not £14,089 as per MM's explanation</t>
      </text>
    </comment>
    <comment ref="B46" authorId="1" shapeId="0" xr:uid="{1FD85936-5E85-405F-950C-9ACE7504EB35}">
      <text>
        <r>
          <rPr>
            <b/>
            <sz val="9"/>
            <color rgb="FF000000"/>
            <rFont val="Tahoma"/>
            <family val="2"/>
          </rPr>
          <t>Thomas Fernandez Debets - Deputy President (C&amp;S):</t>
        </r>
        <r>
          <rPr>
            <sz val="9"/>
            <color rgb="FF000000"/>
            <rFont val="Tahoma"/>
            <family val="2"/>
          </rPr>
          <t xml:space="preserve">
</t>
        </r>
        <r>
          <rPr>
            <sz val="9"/>
            <color rgb="FF000000"/>
            <rFont val="Tahoma"/>
            <family val="2"/>
          </rPr>
          <t>compared to £48.563.52 if apply B28/E28</t>
        </r>
      </text>
    </comment>
    <comment ref="B53" authorId="1" shapeId="0" xr:uid="{ABC9372D-A31C-4A1E-B409-8355C9449855}">
      <text>
        <r>
          <rPr>
            <b/>
            <sz val="9"/>
            <color rgb="FF000000"/>
            <rFont val="Tahoma"/>
            <family val="2"/>
          </rPr>
          <t>Thomas Fernandez Debets - Deputy President (C&amp;S):</t>
        </r>
        <r>
          <rPr>
            <sz val="9"/>
            <color rgb="FF000000"/>
            <rFont val="Tahoma"/>
            <family val="2"/>
          </rPr>
          <t xml:space="preserve">
</t>
        </r>
        <r>
          <rPr>
            <sz val="9"/>
            <color rgb="FF000000"/>
            <rFont val="Tahoma"/>
            <family val="2"/>
          </rPr>
          <t>manually entered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tc={C6309049-578B-46BF-A901-50D1406BCFE8}</author>
  </authors>
  <commentList>
    <comment ref="B8" authorId="0" shapeId="0" xr:uid="{C6309049-578B-46BF-A901-50D1406BCFE8}">
      <text>
        <t>[Threaded comment]
Your version of Excel allows you to read this threaded comment; however, any edits to it will get removed if the file is opened in a newer version of Excel. Learn more: https://go.microsoft.com/fwlink/?linkid=870924
Comment:
    2018/19 allocation: £415,337.02</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DAD2F51-359E-419D-9F5D-D5B9A11902AC}" odcFile="C:\Users\dpcs\Downloads\query (44).iqy" keepAlive="1" name="query (44)" type="5" refreshedVersion="6" minRefreshableVersion="3" saveData="1">
    <dbPr connection="Provider=Microsoft.Office.List.OLEDB.2.0;Data Source=&quot;&quot;;ApplicationName=Excel;Version=12.0.0.0" command="&lt;LIST&gt;&lt;VIEWGUID&gt;22797248-450A-49A7-8264-CB7216C57148&lt;/VIEWGUID&gt;&lt;LISTNAME&gt;{BED95080-39E6-4815-975F-6CAC49DEDBB7}&lt;/LISTNAME&gt;&lt;LISTWEB&gt;https://imperiallondon.sharepoint.com/sites/CSPAdmin2/_vti_bin&lt;/LISTWEB&gt;&lt;LISTSUBWEB&gt;&lt;/LISTSUBWEB&gt;&lt;ROOTFOLDER&gt;&lt;/ROOTFOLDER&gt;&lt;/LIST&gt;" commandType="5"/>
  </connection>
</connections>
</file>

<file path=xl/sharedStrings.xml><?xml version="1.0" encoding="utf-8"?>
<sst xmlns="http://schemas.openxmlformats.org/spreadsheetml/2006/main" count="3421" uniqueCount="575">
  <si>
    <t>SUMMARY</t>
  </si>
  <si>
    <t>CSP FUNDING - BUDGETING FOR 2020/21</t>
  </si>
  <si>
    <t>ACTIVITIES DEVELOPMENT FUND</t>
  </si>
  <si>
    <t>BREAKDOWN</t>
  </si>
  <si>
    <t>Academic Year 2019/20</t>
  </si>
  <si>
    <t>Life Membership balance:</t>
  </si>
  <si>
    <t>CSP Unused Grant:</t>
  </si>
  <si>
    <t>Total amount rolled over to 19/20:</t>
  </si>
  <si>
    <t>End of 2018/19 Academic Year</t>
  </si>
  <si>
    <t>Contribution to CSP Grant 19/20:</t>
  </si>
  <si>
    <t>Allocated ADF funding:</t>
  </si>
  <si>
    <t>Available ADF pot at start of AY:</t>
  </si>
  <si>
    <t>Remaining funds in ADF:</t>
  </si>
  <si>
    <t>CSP Grant available for Annual Budgeting:</t>
  </si>
  <si>
    <t>CSP Grant appeals allocation for AY 20/21:</t>
  </si>
  <si>
    <t>CSP Grant allocated for AY 20/21:</t>
  </si>
  <si>
    <t>CSP Grant reserved for ADF AY 20/21:</t>
  </si>
  <si>
    <t>Current projected Academic Year 2020/21</t>
  </si>
  <si>
    <t>Guaranteed minimum ADF pot:</t>
  </si>
  <si>
    <t>NAC:</t>
  </si>
  <si>
    <t>SPM Wushu (045)</t>
  </si>
  <si>
    <t>SPM Wing Chun (033)</t>
  </si>
  <si>
    <t>SPM Tae Kwon Do (052)</t>
  </si>
  <si>
    <t>SPM Shorinji Kempo (040)</t>
  </si>
  <si>
    <t>SPM Shaolin Kung Fu (024)</t>
  </si>
  <si>
    <t>SPM Muay Thai (051)</t>
  </si>
  <si>
    <t>SPM Kung Fu (016)</t>
  </si>
  <si>
    <t>SPM Krav Maga (072)</t>
  </si>
  <si>
    <t>SPM Kendo (038)</t>
  </si>
  <si>
    <t>SPM Kabaddi (070)</t>
  </si>
  <si>
    <t>SPM Ju-Jitsu (013)</t>
  </si>
  <si>
    <t>SPM Judo (014)</t>
  </si>
  <si>
    <t>SPM Boxing (066)</t>
  </si>
  <si>
    <t>SPM ACC Karate Shotokan (015)</t>
  </si>
  <si>
    <t>SPI Windsurfing (005)</t>
  </si>
  <si>
    <t>SPI Wakeboarding (137)</t>
  </si>
  <si>
    <t>SPI Triathlon (067)</t>
  </si>
  <si>
    <t>SPI Surfing (685)</t>
  </si>
  <si>
    <t>SPI Snowsports (025)</t>
  </si>
  <si>
    <t>SPI Rifle &amp; Pistol (020)</t>
  </si>
  <si>
    <t>SPI Riding &amp; Polo (039)</t>
  </si>
  <si>
    <t>SPI Pole &amp; Aerial (165)</t>
  </si>
  <si>
    <t>SPI Parkour, Free Running &amp; Gymnastics (151)</t>
  </si>
  <si>
    <t>SPI Fencing (010)</t>
  </si>
  <si>
    <t>SPI Cycling (009)</t>
  </si>
  <si>
    <t>SPI Cross Country (008)</t>
  </si>
  <si>
    <t>SPI Boat (006)</t>
  </si>
  <si>
    <t>SPI Barbell (073)</t>
  </si>
  <si>
    <t>SPI Badminton (003)</t>
  </si>
  <si>
    <t>SPI Archery (046)</t>
  </si>
  <si>
    <t>SPI ACC Table Tennis (029)</t>
  </si>
  <si>
    <t>SPI ACC Lawn Tennis (017)</t>
  </si>
  <si>
    <t>SPI ACC Golf (011)</t>
  </si>
  <si>
    <t>SPF Yacht (034)</t>
  </si>
  <si>
    <t>SPF Womens Football (002)</t>
  </si>
  <si>
    <t>SPF Ultimate Frisbee (035)</t>
  </si>
  <si>
    <t>SPF Gaelic Sports (062)</t>
  </si>
  <si>
    <t>SPF Football (001)</t>
  </si>
  <si>
    <t>SPF Cricket (007)</t>
  </si>
  <si>
    <t>SPF Baseball (065)</t>
  </si>
  <si>
    <t>SPF American Football (059)</t>
  </si>
  <si>
    <t>SPF ACC Womens Rugby (022)</t>
  </si>
  <si>
    <t>SPF ACC Sailing (023)</t>
  </si>
  <si>
    <t>SPF ACC Rugby (021)</t>
  </si>
  <si>
    <t>SPF ACC Hockey (012)</t>
  </si>
  <si>
    <t>SPC Synchronized Swimming (150)</t>
  </si>
  <si>
    <t>SPC Swim/Waterpolo (028)</t>
  </si>
  <si>
    <t>SPC Squash (027)</t>
  </si>
  <si>
    <t>SPC Ice Hockey (134)</t>
  </si>
  <si>
    <t>SPC Handball (060)</t>
  </si>
  <si>
    <t>SPC Floorball (158)</t>
  </si>
  <si>
    <t>SPC Dodgeball (063)</t>
  </si>
  <si>
    <t>SPC Cheerleading (147)</t>
  </si>
  <si>
    <t>SPC Basketball (004)</t>
  </si>
  <si>
    <t>SPC ACC Volleyball (031)</t>
  </si>
  <si>
    <t>SPC ACC Netball (018)</t>
  </si>
  <si>
    <t>Silwood Exec (550)</t>
  </si>
  <si>
    <t>RSM Rugby (650)</t>
  </si>
  <si>
    <t>RSM Netball (644)</t>
  </si>
  <si>
    <t>RSM Materials (646)</t>
  </si>
  <si>
    <t>RSM Hockey (652)</t>
  </si>
  <si>
    <t>RSM Geophys Soc (654)</t>
  </si>
  <si>
    <t>RSM Geology (647)</t>
  </si>
  <si>
    <t>RSM Football (651)</t>
  </si>
  <si>
    <t>RSM Exec (645)</t>
  </si>
  <si>
    <t>RSM Badminton (626)</t>
  </si>
  <si>
    <t>REV VVMC (614)</t>
  </si>
  <si>
    <t>REV RSM Motor Club (648)</t>
  </si>
  <si>
    <t>REV RCS Motor (640)</t>
  </si>
  <si>
    <t>REG Tabletop Gaming (128)</t>
  </si>
  <si>
    <t>REG Snooker &amp; Pool (102)</t>
  </si>
  <si>
    <t>REG Skate (124)</t>
  </si>
  <si>
    <t>REG RCC Yoga (130)</t>
  </si>
  <si>
    <t>REG RCC Juggling (104)</t>
  </si>
  <si>
    <t>REG RCC Chess (107)</t>
  </si>
  <si>
    <t>REG Quiz (475)</t>
  </si>
  <si>
    <t>REG Poker (142)</t>
  </si>
  <si>
    <t>REG Mahjong (145)</t>
  </si>
  <si>
    <t>REG KnitSock (157)</t>
  </si>
  <si>
    <t>REG Gaming (115)</t>
  </si>
  <si>
    <t>REG eSports (178)</t>
  </si>
  <si>
    <t>REG Bridge (103)</t>
  </si>
  <si>
    <t>REE Underwater (126)</t>
  </si>
  <si>
    <t>REE Skydiving (117)</t>
  </si>
  <si>
    <t>REE RCC Mountaineering (116)</t>
  </si>
  <si>
    <t>REE RCC Exploration (109)</t>
  </si>
  <si>
    <t>REE Pilots (166)</t>
  </si>
  <si>
    <t>REE Outdoor Club (120)</t>
  </si>
  <si>
    <t>REE Gliding (112)</t>
  </si>
  <si>
    <t>REE Fellwanderers (110)</t>
  </si>
  <si>
    <t>REE Caving (106)</t>
  </si>
  <si>
    <t>REE Canoe (105)</t>
  </si>
  <si>
    <t>Recreation Sector (100)</t>
  </si>
  <si>
    <t>REA VegSoc (453)</t>
  </si>
  <si>
    <t>REA Tea Society (296)</t>
  </si>
  <si>
    <t>REA Sci Fi (266)</t>
  </si>
  <si>
    <t>REA SCC Film (232)</t>
  </si>
  <si>
    <t>REA Rock and Metal (265)</t>
  </si>
  <si>
    <t>REA Culinary (164)</t>
  </si>
  <si>
    <t>REA Cheese (285)</t>
  </si>
  <si>
    <t>REA Book Club (297)</t>
  </si>
  <si>
    <t>REA ArtSoc (209)</t>
  </si>
  <si>
    <t>REA AnimeSoc (207)</t>
  </si>
  <si>
    <t>REA Alternative Music (205)</t>
  </si>
  <si>
    <t>RCSU Synthetic Biology (738)</t>
  </si>
  <si>
    <t>RCSU Physics (635)</t>
  </si>
  <si>
    <t>RCSU Maths (634)</t>
  </si>
  <si>
    <t>RCSU Exec (730)</t>
  </si>
  <si>
    <t>RCSU Chemistry (633)</t>
  </si>
  <si>
    <t>RCSU BioSoc (630)</t>
  </si>
  <si>
    <t>RCSU BioChem (631)</t>
  </si>
  <si>
    <t xml:space="preserve">NAI RCS Rugby Football </t>
  </si>
  <si>
    <t xml:space="preserve">NAI Calisthenics </t>
  </si>
  <si>
    <t>NAI Blockchain and Crypto-Technologies</t>
  </si>
  <si>
    <t>NAI Activities for Children with Disabilities (767)</t>
  </si>
  <si>
    <t>KNE TedX (780)</t>
  </si>
  <si>
    <t>KNE Sign Language (464)</t>
  </si>
  <si>
    <t>KNE Pint of Science (781)</t>
  </si>
  <si>
    <t>KNE Machine Learning (183)</t>
  </si>
  <si>
    <t>KNE First Aid Society (125)</t>
  </si>
  <si>
    <t>KNE Environmental (227)</t>
  </si>
  <si>
    <t>KNE Energy (462)</t>
  </si>
  <si>
    <t>KNE Beyond (214)</t>
  </si>
  <si>
    <t>KNE Astro (637)</t>
  </si>
  <si>
    <t>KNE Animal Protection &amp; Education Society (238)</t>
  </si>
  <si>
    <t>KND Speakers (469)</t>
  </si>
  <si>
    <t>KND Philosophy (264)</t>
  </si>
  <si>
    <t>KND Model United Nations (276)</t>
  </si>
  <si>
    <t>KND Left Forum (182)</t>
  </si>
  <si>
    <t>KND Labour (254)</t>
  </si>
  <si>
    <t>KND Feminist (476)</t>
  </si>
  <si>
    <t>KND Debating (225)</t>
  </si>
  <si>
    <t>KND Amnesty International (206)</t>
  </si>
  <si>
    <t>KNC Women in SET (291)</t>
  </si>
  <si>
    <t>KNC Women in Business (786)</t>
  </si>
  <si>
    <t>KNC Management (467)</t>
  </si>
  <si>
    <t>KNC Investment (247)</t>
  </si>
  <si>
    <t>KNC Imperial Entrepreneurs (228)</t>
  </si>
  <si>
    <t>KNC Consultancy (293)</t>
  </si>
  <si>
    <t>KNC Algorithmic Trading (180)</t>
  </si>
  <si>
    <t>ICSMSU Yoga (686)</t>
  </si>
  <si>
    <t>ICSMSU Womens Hockey (666)</t>
  </si>
  <si>
    <t>ICSMSU Womens Football (657)</t>
  </si>
  <si>
    <t>ICSMSU Weights &amp; Fitness (689)</t>
  </si>
  <si>
    <t>ICSMSU Water Polo (676)</t>
  </si>
  <si>
    <t>ICSMSU Tennis (669)</t>
  </si>
  <si>
    <t>ICSMSU TeddyBear Hospital (737)</t>
  </si>
  <si>
    <t>ICSMSU Surgical Soc (699)</t>
  </si>
  <si>
    <t>ICSMSU Students for Global Health (681)</t>
  </si>
  <si>
    <t>ICSMSU Squash (675)</t>
  </si>
  <si>
    <t>ICSMSU SEM Soc (739)</t>
  </si>
  <si>
    <t>ICSMSU Rugby (671)</t>
  </si>
  <si>
    <t>ICSMSU Rag (690)</t>
  </si>
  <si>
    <t>ICSMSU Psychiatry (715)</t>
  </si>
  <si>
    <t>ICSMSU Pre-Hospital Emergency Medicine (744)</t>
  </si>
  <si>
    <t>ICSMSU Pathology Society (743)</t>
  </si>
  <si>
    <t>ICSMSU Paediatrics (716)</t>
  </si>
  <si>
    <t>ICSMSU Obstetrics &amp; Gynaecology (712)</t>
  </si>
  <si>
    <t>ICSMSU Neuroscience (720)</t>
  </si>
  <si>
    <t>ICSMSU Netball (670)</t>
  </si>
  <si>
    <t>ICSMSU Muslim Medics (687)</t>
  </si>
  <si>
    <t>ICSMSU Music (679)</t>
  </si>
  <si>
    <t>ICSMSU Medical Education (711)</t>
  </si>
  <si>
    <t>ICSMSU Light Opera (688)</t>
  </si>
  <si>
    <t>ICSMSU Lacrosse (668)</t>
  </si>
  <si>
    <t>ICSMSU Jiu Jitsu (Aiuchi) (665)</t>
  </si>
  <si>
    <t>ICSMSU Hockey (664)</t>
  </si>
  <si>
    <t>ICSMSU Gazette (694)</t>
  </si>
  <si>
    <t>ICSMSU Friends of Médecins Sans Frontières (288)</t>
  </si>
  <si>
    <t>ICSMSU Football (656)</t>
  </si>
  <si>
    <t>ICSMSU Exec (655)</t>
  </si>
  <si>
    <t>ICSMSU Drama (678)</t>
  </si>
  <si>
    <t>ICSMSU Dermatology (717)</t>
  </si>
  <si>
    <t>ICSMSU Dance (706)</t>
  </si>
  <si>
    <t>ICSMSU Cricket (661)</t>
  </si>
  <si>
    <t>ICSMSU Connect (741)</t>
  </si>
  <si>
    <t>ICSMSU Coding Society (747)</t>
  </si>
  <si>
    <t>ICSMSU Christian Medical Fellowship (725)</t>
  </si>
  <si>
    <t>ICSMSU Boat (660)</t>
  </si>
  <si>
    <t>ICSMSU BioMed Society (726)</t>
  </si>
  <si>
    <t>ICSMSU Badminton (658)</t>
  </si>
  <si>
    <t>ICSMSU Asian Medical Students' Association (729)</t>
  </si>
  <si>
    <t>ICSMSU Acute Care Specialities (740)</t>
  </si>
  <si>
    <t>GSU Graduate Students' Union Exec (940)</t>
  </si>
  <si>
    <t>CTN Scandinavian (318)</t>
  </si>
  <si>
    <t>CTN Romanian (343)</t>
  </si>
  <si>
    <t>CTN Latin-American (326)</t>
  </si>
  <si>
    <t>CTN Irish (327)</t>
  </si>
  <si>
    <t>CTN Hellenic (308)</t>
  </si>
  <si>
    <t>CTN French (307)</t>
  </si>
  <si>
    <t>CTN Czech &amp; Slovak (338)</t>
  </si>
  <si>
    <t>CTN Cypriot (306)</t>
  </si>
  <si>
    <t>CTN Bulgarian (345)</t>
  </si>
  <si>
    <t>CTN Afro-Caribbean (301)</t>
  </si>
  <si>
    <t>CTM Mauritian (316)</t>
  </si>
  <si>
    <t>CTM Lebanese (314)</t>
  </si>
  <si>
    <t>CTM Iran (310)</t>
  </si>
  <si>
    <t>CTM Friends of Palestine (261)</t>
  </si>
  <si>
    <t>CTM East African (329)</t>
  </si>
  <si>
    <t>CTM Arabic (302)</t>
  </si>
  <si>
    <t>CTA Thai (323)</t>
  </si>
  <si>
    <t>CTA Taiwan (322)</t>
  </si>
  <si>
    <t>CTA Sri-Lankan (321)</t>
  </si>
  <si>
    <t>CTA Singapore (319)</t>
  </si>
  <si>
    <t>CTA Pakistan (317)</t>
  </si>
  <si>
    <t>CTA Malaysian (315)</t>
  </si>
  <si>
    <t>CTA Korean (313)</t>
  </si>
  <si>
    <t>CTA Japanese (312)</t>
  </si>
  <si>
    <t>CTA Indonesian (328)</t>
  </si>
  <si>
    <t>CTA Indian (309)</t>
  </si>
  <si>
    <t>CTA CSSA (305)</t>
  </si>
  <si>
    <t>CGCU Space Society (629)</t>
  </si>
  <si>
    <t>CGCU Rugby (609)</t>
  </si>
  <si>
    <t>CGCU Robotics (625)</t>
  </si>
  <si>
    <t>CGCU Rail and Transport Society (282)</t>
  </si>
  <si>
    <t>CGCU Racing (612)</t>
  </si>
  <si>
    <t>CGCU Motor Club (611)</t>
  </si>
  <si>
    <t>CGCU Mech Eng (606)</t>
  </si>
  <si>
    <t>CGCU Exec (600)</t>
  </si>
  <si>
    <t>CGCU Engineering Change (229)</t>
  </si>
  <si>
    <t>CGCU Elec Eng (603)</t>
  </si>
  <si>
    <t>CGCU Drone (179)</t>
  </si>
  <si>
    <t>CGCU DoCSoc (605)</t>
  </si>
  <si>
    <t>CGCU Design Engineering (607)</t>
  </si>
  <si>
    <t>CGCU Data Science Society (627)</t>
  </si>
  <si>
    <t>CGCU Civil Eng (604)</t>
  </si>
  <si>
    <t>CGCU Chem Eng (602)</t>
  </si>
  <si>
    <t>CGCU Bio Engineering (608)</t>
  </si>
  <si>
    <t>CGCU Aeronautics (601)</t>
  </si>
  <si>
    <t>CFI RED (783)</t>
  </si>
  <si>
    <t>CFI Raincatcher Imperial (770)</t>
  </si>
  <si>
    <t>CFI Project Nepal (772)</t>
  </si>
  <si>
    <t>CFI Pass (454)</t>
  </si>
  <si>
    <t>CFI Global Brigades (761)</t>
  </si>
  <si>
    <t>CFI Geology for Global Development (782)</t>
  </si>
  <si>
    <t>CFI Enactus (455)</t>
  </si>
  <si>
    <t>CFI E.quinox (624)</t>
  </si>
  <si>
    <t>CFF SCC Islamic (248)</t>
  </si>
  <si>
    <t>CFF Krishna Consciousness (450)</t>
  </si>
  <si>
    <t>CFF Imperial Humanist Students (294)</t>
  </si>
  <si>
    <t>CFF Hindu Society (235)</t>
  </si>
  <si>
    <t>CFF Christian Union (222)</t>
  </si>
  <si>
    <t>CFF Catholic (221)</t>
  </si>
  <si>
    <t>CFF Buddhist Society (217)</t>
  </si>
  <si>
    <t>CFF Ahmadiyya Muslim Students Association (210)</t>
  </si>
  <si>
    <t>CFF Ahlul Bayt (204)</t>
  </si>
  <si>
    <t>CFCO Soup Run (765)</t>
  </si>
  <si>
    <t>CFCO Mentality (785)</t>
  </si>
  <si>
    <t>CFCO IQ (Imperial College LGBT+) (239)</t>
  </si>
  <si>
    <t>CFCO Erasmus (230)</t>
  </si>
  <si>
    <t>CFCH UNICEF (278)</t>
  </si>
  <si>
    <t>CFCH Save the Children (292)</t>
  </si>
  <si>
    <t>CFCH RAG (757)</t>
  </si>
  <si>
    <t>CFCH BHF (452)</t>
  </si>
  <si>
    <t>Arts &amp; Entertainments Sector (400)</t>
  </si>
  <si>
    <t>AEMU Wind Band (419)</t>
  </si>
  <si>
    <t>AEMU String Ensemble (417)</t>
  </si>
  <si>
    <t>AEMU Sinfonietta (402)</t>
  </si>
  <si>
    <t>AEMU Orchestra (401)</t>
  </si>
  <si>
    <t>AEMU IC Big Band &amp; Jazz (408)</t>
  </si>
  <si>
    <t>AEMU Gospel Choir (418)</t>
  </si>
  <si>
    <t>AEMU Choir (403)</t>
  </si>
  <si>
    <t>AEMU Chamber Music (412)</t>
  </si>
  <si>
    <t>AEMU Chamber Choir (423)</t>
  </si>
  <si>
    <t>AEMU A Cappella (421)</t>
  </si>
  <si>
    <t>AEME ICTV (382)</t>
  </si>
  <si>
    <t>AEME IC Radio (383)</t>
  </si>
  <si>
    <t>AEME Felix (381)</t>
  </si>
  <si>
    <t>AEME DJ &amp; Production (414)</t>
  </si>
  <si>
    <t>AEF Media Photographic (118)</t>
  </si>
  <si>
    <t>AEF Fashion and Design (146)</t>
  </si>
  <si>
    <t>AEF Artisans (175)</t>
  </si>
  <si>
    <t>AEF Art Club (405)</t>
  </si>
  <si>
    <t>AEE Musical Theatre (415)</t>
  </si>
  <si>
    <t>AEE Live Music (413)</t>
  </si>
  <si>
    <t>AEE ICU Cinema (411)</t>
  </si>
  <si>
    <t>AEE Guitar (409)</t>
  </si>
  <si>
    <t>AEE Dramatic Society (406)</t>
  </si>
  <si>
    <t>AEE Comedy Society (424)</t>
  </si>
  <si>
    <t>AED Funkology (680)</t>
  </si>
  <si>
    <t>AED Dance Imperial (425)</t>
  </si>
  <si>
    <t>AED Dance Company (759)</t>
  </si>
  <si>
    <t>AED Dance (108)</t>
  </si>
  <si>
    <t>AED Dance - Belly Dancing (149)</t>
  </si>
  <si>
    <t>AE Media (380)</t>
  </si>
  <si>
    <t>Defecit</t>
  </si>
  <si>
    <t>Surplus</t>
  </si>
  <si>
    <t>TotalActual</t>
  </si>
  <si>
    <t>TotalBudget</t>
  </si>
  <si>
    <t>Committee</t>
  </si>
  <si>
    <t>OCID</t>
  </si>
  <si>
    <t>Underspend</t>
  </si>
  <si>
    <t>GROUP BY AllCentres.OCID, AllCentres.Committee</t>
  </si>
  <si>
    <t>AND FundID = 1</t>
  </si>
  <si>
    <t>AND OffCommType IN (1, 2, 3, 5, 7, 14)</t>
  </si>
  <si>
    <t>WHERE YearID = 32</t>
  </si>
  <si>
    <t>INNER JOIN AllCentres ON Transactions.OCID = AllCentres.OCID</t>
  </si>
  <si>
    <t>FROM dbo.Transactions</t>
  </si>
  <si>
    <t>--SELECT *</t>
  </si>
  <si>
    <t>SUM(CASE WHEN TransID != 2606 THEN Amount ELSE 0 END) AS TotalActual</t>
  </si>
  <si>
    <t>SUM(CASE WHEN TransID = 2606 THEN Amount ELSE 0 END) AS TotalBudget,</t>
  </si>
  <si>
    <t>SELECT AllCentres.OCID, AllCentres.Committee,</t>
  </si>
  <si>
    <r>
      <t>Unspent AY 2019/20 (</t>
    </r>
    <r>
      <rPr>
        <i/>
        <sz val="12"/>
        <color theme="1"/>
        <rFont val="Calibri"/>
        <family val="2"/>
        <scheme val="minor"/>
      </rPr>
      <t>as of 26.06.20</t>
    </r>
    <r>
      <rPr>
        <sz val="12"/>
        <color theme="1"/>
        <rFont val="Calibri"/>
        <family val="2"/>
        <scheme val="minor"/>
      </rPr>
      <t>):</t>
    </r>
  </si>
  <si>
    <r>
      <t>Unspent AY 2018/19 (</t>
    </r>
    <r>
      <rPr>
        <i/>
        <sz val="12"/>
        <color theme="1"/>
        <rFont val="Calibri"/>
        <family val="2"/>
        <scheme val="minor"/>
      </rPr>
      <t>as of 28.06.19</t>
    </r>
    <r>
      <rPr>
        <sz val="12"/>
        <color theme="1"/>
        <rFont val="Calibri"/>
        <family val="2"/>
        <scheme val="minor"/>
      </rPr>
      <t>):</t>
    </r>
  </si>
  <si>
    <r>
      <t>Unspent AY 2018/19 (</t>
    </r>
    <r>
      <rPr>
        <i/>
        <sz val="12"/>
        <color theme="1"/>
        <rFont val="Calibri"/>
        <family val="2"/>
        <scheme val="minor"/>
      </rPr>
      <t>as of 31.07.19</t>
    </r>
    <r>
      <rPr>
        <sz val="12"/>
        <color theme="1"/>
        <rFont val="Calibri"/>
        <family val="2"/>
        <scheme val="minor"/>
      </rPr>
      <t>):</t>
    </r>
  </si>
  <si>
    <r>
      <t>*Projected* unspent AY 2019/20 (</t>
    </r>
    <r>
      <rPr>
        <i/>
        <sz val="12"/>
        <color theme="1"/>
        <rFont val="Calibri"/>
        <family val="2"/>
        <scheme val="minor"/>
      </rPr>
      <t>for 31.07.20</t>
    </r>
    <r>
      <rPr>
        <sz val="12"/>
        <color theme="1"/>
        <rFont val="Calibri"/>
        <family val="2"/>
        <scheme val="minor"/>
      </rPr>
      <t>):</t>
    </r>
  </si>
  <si>
    <t>Arts &amp; Entertainment Sector (400):</t>
  </si>
  <si>
    <t>Sports Sector (000):</t>
  </si>
  <si>
    <t>Knowledge Sector (200):</t>
  </si>
  <si>
    <t>Culture Sector (300):</t>
  </si>
  <si>
    <t>Community Sector (755):</t>
  </si>
  <si>
    <t>Recreation Sector (100):</t>
  </si>
  <si>
    <t>City &amp; Guild College Union:</t>
  </si>
  <si>
    <t>Royal College of Science Union:</t>
  </si>
  <si>
    <t>Royal School of Mines Union:</t>
  </si>
  <si>
    <t>Imperial College School of Medicine Students' Union:</t>
  </si>
  <si>
    <t>Graduate Students' Union:</t>
  </si>
  <si>
    <t>Silwood Park Union:</t>
  </si>
  <si>
    <t>*Projected* unspent AY 2019/20 Grant:</t>
  </si>
  <si>
    <r>
      <t>*Projected* ADF pot (</t>
    </r>
    <r>
      <rPr>
        <i/>
        <sz val="12"/>
        <color theme="1"/>
        <rFont val="Calibri"/>
        <family val="2"/>
        <scheme val="minor"/>
      </rPr>
      <t>for 01.08.2020</t>
    </r>
    <r>
      <rPr>
        <sz val="12"/>
        <color theme="1"/>
        <rFont val="Calibri"/>
        <family val="2"/>
        <scheme val="minor"/>
      </rPr>
      <t>):</t>
    </r>
  </si>
  <si>
    <r>
      <rPr>
        <b/>
        <u/>
        <sz val="12"/>
        <color theme="1"/>
        <rFont val="Calibri"/>
        <family val="2"/>
        <scheme val="minor"/>
      </rPr>
      <t>Notes</t>
    </r>
    <r>
      <rPr>
        <sz val="12"/>
        <color theme="1"/>
        <rFont val="Calibri"/>
        <family val="2"/>
        <scheme val="minor"/>
      </rPr>
      <t>:
1. All negative current CSP Grant values for 'Unspent AY 2019/20 (</t>
    </r>
    <r>
      <rPr>
        <i/>
        <sz val="12"/>
        <color theme="1"/>
        <rFont val="Calibri"/>
        <family val="2"/>
        <scheme val="minor"/>
      </rPr>
      <t>as of 26.06.20</t>
    </r>
    <r>
      <rPr>
        <sz val="12"/>
        <color theme="1"/>
        <rFont val="Calibri"/>
        <family val="2"/>
        <scheme val="minor"/>
      </rPr>
      <t>)' were corrected to £0 as negative Grant amounts at the end of the AY are netted off against the CSP's SGI (Self-Generated Income)
2. Projected amounts were calculated by multiplying the remaning Grant amounts (as of 26.06.2020) for each MG/CU by the ratio 'Unspent AY 2018/19 (as of 31.07.19):Unspent AY 2018/19 (</t>
    </r>
    <r>
      <rPr>
        <i/>
        <sz val="12"/>
        <color theme="1"/>
        <rFont val="Calibri"/>
        <family val="2"/>
        <scheme val="minor"/>
      </rPr>
      <t>as of 28.06.19</t>
    </r>
    <r>
      <rPr>
        <sz val="12"/>
        <color theme="1"/>
        <rFont val="Calibri"/>
        <family val="2"/>
        <scheme val="minor"/>
      </rPr>
      <t>)'
3. Where Grant did not wrongfully increase between 28.06.19 and 31.07.19 (i.e. following an increase in the ratio 'number of full members:target membership' [where the ratio is less than 1] OR due to Lifetime Membership income), this was *NOT* considered as an exception</t>
    </r>
  </si>
  <si>
    <r>
      <t>ADF pot (</t>
    </r>
    <r>
      <rPr>
        <i/>
        <sz val="12"/>
        <color theme="1"/>
        <rFont val="Calibri"/>
        <family val="2"/>
        <scheme val="minor"/>
      </rPr>
      <t>as of 01.08.2019</t>
    </r>
    <r>
      <rPr>
        <sz val="12"/>
        <color theme="1"/>
        <rFont val="Calibri"/>
        <family val="2"/>
        <scheme val="minor"/>
      </rPr>
      <t>):</t>
    </r>
  </si>
  <si>
    <r>
      <t>ADF pot (</t>
    </r>
    <r>
      <rPr>
        <i/>
        <sz val="12"/>
        <color theme="1"/>
        <rFont val="Calibri"/>
        <family val="2"/>
        <scheme val="minor"/>
      </rPr>
      <t>as of 26.06.2020</t>
    </r>
    <r>
      <rPr>
        <sz val="12"/>
        <color theme="1"/>
        <rFont val="Calibri"/>
        <family val="2"/>
        <scheme val="minor"/>
      </rPr>
      <t>):</t>
    </r>
  </si>
  <si>
    <t>*Projected* unspent AY 19/20 Grant:</t>
  </si>
  <si>
    <t>Recommendations for ADF pot for AY 20/21</t>
  </si>
  <si>
    <t>Available ADF pot for AY 20/21:</t>
  </si>
  <si>
    <t>Creation of a "Community Building" pot:</t>
  </si>
  <si>
    <t>Funds to be returned to the central Union account:</t>
  </si>
  <si>
    <t>Key ADF dates and numbers</t>
  </si>
  <si>
    <t>Agreed available block grant for CSP Budgeting (February F&amp;R):</t>
  </si>
  <si>
    <t>Key CSP Budgeting numbers</t>
  </si>
  <si>
    <t>CSP Grant allocated by the Clubs, Societies &amp; Projects Board (March):</t>
  </si>
  <si>
    <r>
      <t>Amount reserved for AY 20/21 ADF (</t>
    </r>
    <r>
      <rPr>
        <i/>
        <sz val="12"/>
        <color theme="1"/>
        <rFont val="Calibri"/>
        <family val="2"/>
        <scheme val="minor"/>
      </rPr>
      <t>already included in above section</t>
    </r>
    <r>
      <rPr>
        <sz val="12"/>
        <color theme="1"/>
        <rFont val="Calibri"/>
        <family val="2"/>
        <scheme val="minor"/>
      </rPr>
      <t>):</t>
    </r>
  </si>
  <si>
    <t>Models for CSP Grant contribution to Union-wide budgeting for 20/21</t>
  </si>
  <si>
    <t>CSP BUDGETING FOR AY 20/21</t>
  </si>
  <si>
    <t>CSP Budgeting as of April 2020</t>
  </si>
  <si>
    <t>Agreed deduction</t>
  </si>
  <si>
    <t>sites/CSPAdmin2/Lists/MG  Overalls</t>
  </si>
  <si>
    <t>Item</t>
  </si>
  <si>
    <t>19/20</t>
  </si>
  <si>
    <t>Exempt</t>
  </si>
  <si>
    <t>Complete</t>
  </si>
  <si>
    <t>RSM</t>
  </si>
  <si>
    <t>SP</t>
  </si>
  <si>
    <t>Sport Sector (000)</t>
  </si>
  <si>
    <t>GSU</t>
  </si>
  <si>
    <t>GSU Exec (940)</t>
  </si>
  <si>
    <t>CGCU</t>
  </si>
  <si>
    <t>MG1</t>
  </si>
  <si>
    <t>NAI</t>
  </si>
  <si>
    <t>NAI Turkish (324)</t>
  </si>
  <si>
    <t>ICSM</t>
  </si>
  <si>
    <t>RCSU</t>
  </si>
  <si>
    <t>SPM</t>
  </si>
  <si>
    <t>SPM Ki Aikido (071)</t>
  </si>
  <si>
    <t>SPI</t>
  </si>
  <si>
    <t>SPI Parkour, Free Running &amp; Gymnast...</t>
  </si>
  <si>
    <t>SPF</t>
  </si>
  <si>
    <t>SPC</t>
  </si>
  <si>
    <t>SIL</t>
  </si>
  <si>
    <t>RSM Lacrosse (074)</t>
  </si>
  <si>
    <t>RSM Economic Geologists</t>
  </si>
  <si>
    <t>RSM De La Beche (647)</t>
  </si>
  <si>
    <t>REV</t>
  </si>
  <si>
    <t>REV Vehicle Design (174)</t>
  </si>
  <si>
    <t>REG</t>
  </si>
  <si>
    <t>REG Magic (176)</t>
  </si>
  <si>
    <t>REG Game Development (177)</t>
  </si>
  <si>
    <t>REE</t>
  </si>
  <si>
    <t>REE Wilderness Medicine (169)</t>
  </si>
  <si>
    <t>REA</t>
  </si>
  <si>
    <t>REA Baking (463)</t>
  </si>
  <si>
    <t>RCC Botanical (181)</t>
  </si>
  <si>
    <t>NAI Whisky Society</t>
  </si>
  <si>
    <t>NAI Spanish (320)</t>
  </si>
  <si>
    <t>NAI Society for International Medicine (704)</t>
  </si>
  <si>
    <t>NAI Sleep</t>
  </si>
  <si>
    <t>NAI RSM Cricket</t>
  </si>
  <si>
    <t>NAI Rap Society</t>
  </si>
  <si>
    <t>NAI Politico-Economic</t>
  </si>
  <si>
    <t>NAI Plastic Surgery</t>
  </si>
  <si>
    <t>NAI Oenology</t>
  </si>
  <si>
    <t>NAI Nutritank</t>
  </si>
  <si>
    <t>NAI Kinky Klub</t>
  </si>
  <si>
    <t>NAI Kazakhstan (352)</t>
  </si>
  <si>
    <t>NAI Jain Society</t>
  </si>
  <si>
    <t>NAI Indian National Student Associa...</t>
  </si>
  <si>
    <t>NAI Impact Investing</t>
  </si>
  <si>
    <t>NAI Hip Hop</t>
  </si>
  <si>
    <t>NAI Gastroenterology &amp; Hepatology</t>
  </si>
  <si>
    <t>NAI FinTech</t>
  </si>
  <si>
    <t>NAI European Medical Students’ Association</t>
  </si>
  <si>
    <t>NAI Effective Altruism</t>
  </si>
  <si>
    <t>NAI Clinical Genetics</t>
  </si>
  <si>
    <t>NAI Cameroon Catalyst</t>
  </si>
  <si>
    <t>NAI Calisthenics</t>
  </si>
  <si>
    <t>NAI Blockchain and Crypto-Technolog...</t>
  </si>
  <si>
    <t>NAI Belgian Society</t>
  </si>
  <si>
    <t>NAI Austrian</t>
  </si>
  <si>
    <t>KNE</t>
  </si>
  <si>
    <t>KNE Pharmacology (709)</t>
  </si>
  <si>
    <t>KNE Animal Protection &amp; Education S...</t>
  </si>
  <si>
    <t>KND</t>
  </si>
  <si>
    <t>KND History Society (460)</t>
  </si>
  <si>
    <t>KND Conservative (224)</t>
  </si>
  <si>
    <t>KNC</t>
  </si>
  <si>
    <t>KNC SCC Finance (233)</t>
  </si>
  <si>
    <t>KNC Law (255)</t>
  </si>
  <si>
    <t>KNC Innovation Society (298)</t>
  </si>
  <si>
    <t>ICSMSU Students for Global Health (...</t>
  </si>
  <si>
    <t>ICSMSU Right to Play (790)</t>
  </si>
  <si>
    <t>ICSMSU Psychedelic Studies (184)</t>
  </si>
  <si>
    <t>ICSMSU Ophthalmology (731)</t>
  </si>
  <si>
    <t>ICSMSU Medical Humanities (268)</t>
  </si>
  <si>
    <t>ICSMSU ICAB (698)</t>
  </si>
  <si>
    <t>ICSMSU Heart Society (742)</t>
  </si>
  <si>
    <t>ICSMSU GradMed (708)</t>
  </si>
  <si>
    <t>ICSMSU Christian Medical Fellowship...</t>
  </si>
  <si>
    <t>ICSMSU British Medical Association ...</t>
  </si>
  <si>
    <t>ICSMSU Asian Medical Students' Asso...</t>
  </si>
  <si>
    <t>GSU Hammersmith Students' Community...</t>
  </si>
  <si>
    <t>CTN</t>
  </si>
  <si>
    <t>CTN Swiss (354)</t>
  </si>
  <si>
    <t>CTN Russian Speaking (284)</t>
  </si>
  <si>
    <t>CTN Portuguese Speaking (333)</t>
  </si>
  <si>
    <t>CTN Polish (334)</t>
  </si>
  <si>
    <t>CTN Italian (311)</t>
  </si>
  <si>
    <t>CTN Hungarian (351)</t>
  </si>
  <si>
    <t>CTN German (325)</t>
  </si>
  <si>
    <t>CTN Estonian (356)</t>
  </si>
  <si>
    <t>CTN Australian (348)</t>
  </si>
  <si>
    <t>CTM</t>
  </si>
  <si>
    <t>CTM Saudi (350)</t>
  </si>
  <si>
    <t>CTM Nigerian (346)</t>
  </si>
  <si>
    <t>CTM Israeli (344)</t>
  </si>
  <si>
    <t>CTM Iraqi (331)</t>
  </si>
  <si>
    <t>CTA</t>
  </si>
  <si>
    <t>CTA Vietnamese (341)</t>
  </si>
  <si>
    <t>CTA Punjabi (289)</t>
  </si>
  <si>
    <t>CTA Int. Tamil (245)</t>
  </si>
  <si>
    <t>CTA Chinese (304)</t>
  </si>
  <si>
    <t>CTA Bruneian (335)</t>
  </si>
  <si>
    <t>CTA Bangladeshi (303)</t>
  </si>
  <si>
    <t>CTA ABACUS (203)</t>
  </si>
  <si>
    <t>CGCU Rail and Transport Society (28...</t>
  </si>
  <si>
    <t>CFR</t>
  </si>
  <si>
    <t>CFR UNICEF (278)</t>
  </si>
  <si>
    <t>CFR Save the Children (292)</t>
  </si>
  <si>
    <t>CFR BHF (452)</t>
  </si>
  <si>
    <t>CFI</t>
  </si>
  <si>
    <t>CFI Student Action for Refugees (77...</t>
  </si>
  <si>
    <t>CFI Kenyan Orphan Project (763)</t>
  </si>
  <si>
    <t>CFI Geology for Global Development ...</t>
  </si>
  <si>
    <t>CFI Avicenna Project (777)</t>
  </si>
  <si>
    <t>CFF</t>
  </si>
  <si>
    <t>CFF Sikh (269)</t>
  </si>
  <si>
    <t>CFF Overseas Christian Fellowship (...</t>
  </si>
  <si>
    <t>CFF Jewish (251)</t>
  </si>
  <si>
    <t>CFF Imperial Humanist Students (294...</t>
  </si>
  <si>
    <t>CFF Hillsong Powerhouse (479)</t>
  </si>
  <si>
    <t>CFF Every Nation Christian (236)</t>
  </si>
  <si>
    <t>CFF Ahmadiyya Muslim Students Assoc...</t>
  </si>
  <si>
    <t>CFC</t>
  </si>
  <si>
    <t>CFC TEAM Students (773)</t>
  </si>
  <si>
    <t>CFC Soup Run (765)</t>
  </si>
  <si>
    <t>CFC Rotaract (474)</t>
  </si>
  <si>
    <t>CFC Robotics Academy (784)</t>
  </si>
  <si>
    <t>CFC Mentality (785)</t>
  </si>
  <si>
    <t>CFC IQ (Imperial College LGBT+) (23...</t>
  </si>
  <si>
    <t>CFC Interact (456)</t>
  </si>
  <si>
    <t>CFC Imperial Cooperative (778)</t>
  </si>
  <si>
    <t>CFC Bike Users Group (754)</t>
  </si>
  <si>
    <t>CF</t>
  </si>
  <si>
    <t>CF Rag (757)</t>
  </si>
  <si>
    <t>AEMU</t>
  </si>
  <si>
    <t>AEME</t>
  </si>
  <si>
    <t>AEF</t>
  </si>
  <si>
    <t>AEF Calligraphy and Oriental Painti...</t>
  </si>
  <si>
    <t>AEE</t>
  </si>
  <si>
    <t>AED</t>
  </si>
  <si>
    <t>ICSMSU General Practice (714)</t>
  </si>
  <si>
    <t>Resolution</t>
  </si>
  <si>
    <t>ICSMSU MedTech (703)</t>
  </si>
  <si>
    <t>NAI Imperial Medicals Golf Club</t>
  </si>
  <si>
    <t>ICSMSU Society of Research and Acad...</t>
  </si>
  <si>
    <t>CFC Erasmus (230)</t>
  </si>
  <si>
    <t>AED Belly Dancing (149)</t>
  </si>
  <si>
    <t>ICSMSU Immunology (735)</t>
  </si>
  <si>
    <t>ICSMSU Oncology (719)</t>
  </si>
  <si>
    <t>REA Anime (207)</t>
  </si>
  <si>
    <t>ICSMSU Geriatrics and Elderly Medicine (746)</t>
  </si>
  <si>
    <t>ICSMSU Pre-Hospital Emergency Medic...</t>
  </si>
  <si>
    <t>ICSMSU Vision (732)</t>
  </si>
  <si>
    <t>ICSMSU Friends of Médecins Sans Fro...</t>
  </si>
  <si>
    <t>AEF Writers' Society (483)</t>
  </si>
  <si>
    <t>Rachel Sunderland Fan Club (013)</t>
  </si>
  <si>
    <t>CFI El Salvador (762)</t>
  </si>
  <si>
    <t>Path</t>
  </si>
  <si>
    <t>Item Type</t>
  </si>
  <si>
    <t>Modified</t>
  </si>
  <si>
    <t>Period</t>
  </si>
  <si>
    <t>Grant Received</t>
  </si>
  <si>
    <t>Eligible Grant</t>
  </si>
  <si>
    <t>Grant Requested</t>
  </si>
  <si>
    <t>Total Income</t>
  </si>
  <si>
    <t>Total Cost</t>
  </si>
  <si>
    <t>Code</t>
  </si>
  <si>
    <t>Desired Membership Cost</t>
  </si>
  <si>
    <t>Estimated No. Members</t>
  </si>
  <si>
    <t>Title</t>
  </si>
  <si>
    <t>Column1</t>
  </si>
  <si>
    <t xml:space="preserve"> </t>
  </si>
  <si>
    <t>Model 1</t>
  </si>
  <si>
    <t>Model 2</t>
  </si>
  <si>
    <t>Model 3</t>
  </si>
  <si>
    <t>Adjusted allocations</t>
  </si>
  <si>
    <t>^ is the value I would expect based on the spreadsheet I sent Marta</t>
  </si>
  <si>
    <t>ICSMSU</t>
  </si>
  <si>
    <t>Rachel</t>
  </si>
  <si>
    <t>RCC</t>
  </si>
  <si>
    <t>Silwood</t>
  </si>
  <si>
    <t>Sport</t>
  </si>
  <si>
    <t>Current allocation</t>
  </si>
  <si>
    <t>2019/20</t>
  </si>
  <si>
    <t>2018/19</t>
  </si>
  <si>
    <t>City &amp; Guilds</t>
  </si>
  <si>
    <t>Arts &amp; Entertainment</t>
  </si>
  <si>
    <t>Community &amp; Faith</t>
  </si>
  <si>
    <t>Culture</t>
  </si>
  <si>
    <t>Exec (inc. in total)</t>
  </si>
  <si>
    <t>Royal School of Mines</t>
  </si>
  <si>
    <t>Silwood Park</t>
  </si>
  <si>
    <t>Knowledge</t>
  </si>
  <si>
    <t>Recreation</t>
  </si>
  <si>
    <t>Sports Sector</t>
  </si>
  <si>
    <t>Graduate School Union</t>
  </si>
  <si>
    <t>REV (inc. ring-fence)</t>
  </si>
  <si>
    <t>Column2</t>
  </si>
  <si>
    <r>
      <rPr>
        <b/>
        <u/>
        <sz val="12"/>
        <color theme="1"/>
        <rFont val="Calibri"/>
        <family val="2"/>
        <scheme val="minor"/>
      </rPr>
      <t>Notes</t>
    </r>
    <r>
      <rPr>
        <sz val="12"/>
        <color theme="1"/>
        <rFont val="Calibri"/>
        <family val="2"/>
        <scheme val="minor"/>
      </rPr>
      <t>:
1. MGs/Cus in bold+italic are the only ones that were looked at on a club by club basis for the purpose of this exercise. They represent 87.76% of the total CSP Grant allocation.
2. Cells highlighted in green in the 'Current allocation' column match with the allocations communicated to CSPs in March (</t>
    </r>
    <r>
      <rPr>
        <i/>
        <sz val="12"/>
        <color theme="1"/>
        <rFont val="Calibri"/>
        <family val="2"/>
        <scheme val="minor"/>
      </rPr>
      <t>no allocation was granted to NAC clubs</t>
    </r>
    <r>
      <rPr>
        <sz val="12"/>
        <color theme="1"/>
        <rFont val="Calibri"/>
        <family val="2"/>
        <scheme val="minor"/>
      </rPr>
      <t>)</t>
    </r>
  </si>
  <si>
    <t>Model 1 notes</t>
  </si>
  <si>
    <t>Model 2 notes</t>
  </si>
  <si>
    <t>Model 3 notes</t>
  </si>
  <si>
    <r>
      <rPr>
        <b/>
        <u/>
        <sz val="12"/>
        <color theme="1"/>
        <rFont val="Calibri"/>
        <family val="2"/>
        <scheme val="minor"/>
      </rPr>
      <t>Assumptions</t>
    </r>
    <r>
      <rPr>
        <sz val="12"/>
        <color theme="1"/>
        <rFont val="Calibri"/>
        <family val="2"/>
        <scheme val="minor"/>
      </rPr>
      <t>:
1. The number of members between 26.06.20 and the end of AY follows the same profile as AY 19/20
2. The income/expenditure between 26.06.20 and the end of AY follows the same profile as AY 19/20
3. Transaction Corrections will be conducted correctly, where corrections are only done FROM Grant TO SGI &amp;&amp; only to correct SGI expenditure on Grant-eligible purchases</t>
    </r>
  </si>
  <si>
    <t xml:space="preserve">  *Projected* additional unspent Grant in AY 2020/21:</t>
  </si>
  <si>
    <t xml:space="preserve">    Total contribuition from CSP funds to the wider-Union budget:</t>
  </si>
  <si>
    <t xml:space="preserve">  *Projected* proportion of unspent CSP Grant in AY 2020/21:</t>
  </si>
  <si>
    <t xml:space="preserve">    Total block grant reserved for CSP Grant:</t>
  </si>
  <si>
    <t xml:space="preserve">    Total contribution from CSP funds to the wider-Union budget:</t>
  </si>
  <si>
    <t>1. Model 1 (scenario A): campus reopens for learning and teaching in October 2020. Social distancing measures still in place. Bars remain closed until January 2021.</t>
  </si>
  <si>
    <t>2. Model 2 (scenario B): campus reopens for learning and teaching in January 2021. The Union remains closed until 2021 and services are delivered remotely. Commercial operations resume in January albeit under moderate social distancing measures.</t>
  </si>
  <si>
    <t>3. Model 3 (scenario C): campus reopens for learning and teaching in January 2021. The Union remains closed until 2021 and services are delivered remotely. Retail outlets are able to reopen with strict social distancing measures but our bars/catering outlets cannot resume within this financial year.</t>
  </si>
  <si>
    <r>
      <t xml:space="preserve">  *Projected* additional</t>
    </r>
    <r>
      <rPr>
        <vertAlign val="superscript"/>
        <sz val="12"/>
        <color theme="1"/>
        <rFont val="Calibri (Body)"/>
      </rPr>
      <t>1</t>
    </r>
    <r>
      <rPr>
        <sz val="12"/>
        <color theme="1"/>
        <rFont val="Calibri"/>
        <family val="2"/>
        <scheme val="minor"/>
      </rPr>
      <t xml:space="preserve"> unspent Grant in AY 2020/21:</t>
    </r>
  </si>
  <si>
    <r>
      <t>1</t>
    </r>
    <r>
      <rPr>
        <sz val="12"/>
        <color theme="1"/>
        <rFont val="Calibri (Body)"/>
      </rPr>
      <t>Where provision is made for the usual amount of ADF to be rolled over to the AY 21/22, "additional" refers to funds that can be returned to the Union's central account on July, 31st 2021</t>
    </r>
  </si>
  <si>
    <r>
      <rPr>
        <vertAlign val="superscript"/>
        <sz val="12"/>
        <color theme="1"/>
        <rFont val="Calibri (Body)"/>
      </rPr>
      <t>2</t>
    </r>
    <r>
      <rPr>
        <sz val="12"/>
        <color theme="1"/>
        <rFont val="Calibri (Body)"/>
      </rPr>
      <t>Life membership allocations do roll over to the next AY</t>
    </r>
  </si>
  <si>
    <r>
      <t xml:space="preserve">  *Projected* additional</t>
    </r>
    <r>
      <rPr>
        <vertAlign val="superscript"/>
        <sz val="12"/>
        <color theme="1"/>
        <rFont val="Calibri (Body)"/>
      </rPr>
      <t>1</t>
    </r>
    <r>
      <rPr>
        <sz val="12"/>
        <color theme="1"/>
        <rFont val="Calibri"/>
        <family val="2"/>
        <scheme val="minor"/>
      </rPr>
      <t xml:space="preserve"> proportion of unspent CSP Grant in AY 2020/21: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</si>
</sst>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Red]\-&quot;£&quot;#,##0.00"/>
    <numFmt numFmtId="165" formatCode="&quot;£&quot;#,##0.00"/>
  </numFmts>
  <fonts count="3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rgb="FF000000"/>
      <name val="Calibri"/>
      <family val="2"/>
      <scheme val="minor"/>
    </font>
    <font>
      <b/>
      <sz val="13"/>
      <color rgb="FFFF0000"/>
      <name val="Calibri"/>
      <family val="2"/>
      <scheme val="minor"/>
    </font>
    <font>
      <sz val="11"/>
      <color rgb="FF000000"/>
      <name val="Calibri"/>
      <family val="2"/>
      <scheme val="minor"/>
    </font>
    <font>
      <i/>
      <sz val="12"/>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b/>
      <sz val="11"/>
      <color rgb="FF000000"/>
      <name val="Calibri"/>
      <family val="2"/>
      <scheme val="minor"/>
    </font>
    <font>
      <b/>
      <sz val="11"/>
      <color rgb="FF808080"/>
      <name val="Calibri"/>
      <family val="2"/>
      <scheme val="minor"/>
    </font>
    <font>
      <i/>
      <sz val="11"/>
      <color rgb="FF000000"/>
      <name val="Calibri"/>
      <family val="2"/>
      <scheme val="minor"/>
    </font>
    <font>
      <sz val="11"/>
      <color rgb="FF808080"/>
      <name val="Calibri"/>
      <family val="2"/>
      <scheme val="minor"/>
    </font>
    <font>
      <b/>
      <i/>
      <sz val="11"/>
      <color theme="1"/>
      <name val="Calibri"/>
      <family val="2"/>
      <scheme val="minor"/>
    </font>
    <font>
      <b/>
      <sz val="11"/>
      <name val="Calibri"/>
      <family val="2"/>
      <scheme val="minor"/>
    </font>
    <font>
      <sz val="11"/>
      <name val="Calibri"/>
      <family val="2"/>
      <scheme val="minor"/>
    </font>
    <font>
      <sz val="12"/>
      <color theme="0"/>
      <name val="Calibri"/>
      <family val="2"/>
      <scheme val="minor"/>
    </font>
    <font>
      <b/>
      <sz val="16"/>
      <color rgb="FF000000"/>
      <name val="Calibri"/>
      <family val="2"/>
      <scheme val="minor"/>
    </font>
    <font>
      <b/>
      <sz val="15"/>
      <color rgb="FFFF0000"/>
      <name val="Calibri"/>
      <family val="2"/>
      <scheme val="minor"/>
    </font>
    <font>
      <b/>
      <sz val="14"/>
      <color theme="1"/>
      <name val="Calibri"/>
      <family val="2"/>
      <scheme val="minor"/>
    </font>
    <font>
      <b/>
      <sz val="13"/>
      <color theme="1"/>
      <name val="Calibri"/>
      <family val="2"/>
      <scheme val="minor"/>
    </font>
    <font>
      <vertAlign val="superscript"/>
      <sz val="12"/>
      <color theme="1"/>
      <name val="Calibri (Body)"/>
    </font>
    <font>
      <vertAlign val="superscript"/>
      <sz val="12"/>
      <color theme="1"/>
      <name val="Calibri"/>
      <family val="2"/>
      <scheme val="minor"/>
    </font>
    <font>
      <sz val="12"/>
      <color theme="1"/>
      <name val="Calibri (Body)"/>
    </font>
    <font>
      <b/>
      <sz val="9"/>
      <color rgb="FF000000"/>
      <name val="Tahoma"/>
      <family val="2"/>
    </font>
    <font>
      <sz val="9"/>
      <color rgb="FF000000"/>
      <name val="Tahoma"/>
      <family val="2"/>
    </font>
    <font>
      <sz val="12"/>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3" fillId="0" borderId="0"/>
  </cellStyleXfs>
  <cellXfs count="105">
    <xf numFmtId="0" fontId="0" fillId="0" borderId="0" xfId="0"/>
    <xf numFmtId="0" fontId="8" fillId="0" borderId="0" xfId="0" applyFont="1"/>
    <xf numFmtId="0" fontId="5" fillId="0" borderId="0" xfId="0" applyFont="1"/>
    <xf numFmtId="165" fontId="0" fillId="0" borderId="0" xfId="0" applyNumberFormat="1"/>
    <xf numFmtId="4" fontId="0" fillId="0" borderId="0" xfId="0" applyNumberFormat="1"/>
    <xf numFmtId="0" fontId="9" fillId="0" borderId="0" xfId="0" applyFont="1"/>
    <xf numFmtId="165" fontId="9" fillId="0" borderId="0" xfId="0" applyNumberFormat="1" applyFont="1"/>
    <xf numFmtId="0" fontId="10" fillId="0" borderId="0" xfId="0" applyFont="1" applyAlignment="1">
      <alignment horizontal="right"/>
    </xf>
    <xf numFmtId="0" fontId="4" fillId="0" borderId="0" xfId="0" applyFont="1" applyAlignment="1">
      <alignment horizontal="right"/>
    </xf>
    <xf numFmtId="0" fontId="4" fillId="0" borderId="0" xfId="1"/>
    <xf numFmtId="165" fontId="4" fillId="0" borderId="0" xfId="1" applyNumberFormat="1"/>
    <xf numFmtId="165" fontId="11" fillId="0" borderId="0" xfId="1" applyNumberFormat="1" applyFont="1"/>
    <xf numFmtId="0" fontId="11" fillId="0" borderId="0" xfId="1" applyFont="1"/>
    <xf numFmtId="0" fontId="0" fillId="0" borderId="1" xfId="0" applyBorder="1"/>
    <xf numFmtId="0" fontId="0" fillId="0" borderId="2" xfId="0" applyFont="1" applyBorder="1"/>
    <xf numFmtId="165" fontId="0" fillId="0" borderId="2" xfId="0" applyNumberFormat="1" applyFont="1" applyBorder="1"/>
    <xf numFmtId="0" fontId="0" fillId="0" borderId="2" xfId="0" applyFont="1" applyBorder="1" applyAlignment="1">
      <alignment horizontal="left"/>
    </xf>
    <xf numFmtId="165" fontId="4" fillId="2" borderId="0" xfId="1" applyNumberFormat="1" applyFill="1"/>
    <xf numFmtId="0" fontId="6" fillId="0" borderId="0" xfId="0" applyFont="1" applyAlignment="1"/>
    <xf numFmtId="0" fontId="7" fillId="0" borderId="0" xfId="0" applyFont="1" applyAlignment="1"/>
    <xf numFmtId="165" fontId="0" fillId="0" borderId="1" xfId="0" applyNumberFormat="1" applyBorder="1"/>
    <xf numFmtId="0" fontId="0" fillId="0" borderId="0" xfId="0" applyBorder="1"/>
    <xf numFmtId="4" fontId="0" fillId="0" borderId="0" xfId="0" applyNumberFormat="1" applyBorder="1"/>
    <xf numFmtId="0" fontId="0" fillId="0" borderId="3" xfId="0" applyBorder="1"/>
    <xf numFmtId="165" fontId="0" fillId="0" borderId="3" xfId="0" applyNumberFormat="1" applyBorder="1"/>
    <xf numFmtId="4" fontId="0" fillId="0" borderId="3" xfId="0" applyNumberFormat="1" applyBorder="1"/>
    <xf numFmtId="0" fontId="0" fillId="0" borderId="3" xfId="0" applyBorder="1" applyAlignment="1">
      <alignment wrapText="1"/>
    </xf>
    <xf numFmtId="0" fontId="5" fillId="0" borderId="0" xfId="0" applyFont="1" applyAlignment="1"/>
    <xf numFmtId="165" fontId="0" fillId="0" borderId="0" xfId="0" applyNumberFormat="1" applyBorder="1"/>
    <xf numFmtId="0" fontId="0" fillId="0" borderId="0" xfId="0" applyFont="1"/>
    <xf numFmtId="0" fontId="0" fillId="0" borderId="2" xfId="0" applyBorder="1"/>
    <xf numFmtId="0" fontId="3" fillId="0" borderId="0" xfId="2"/>
    <xf numFmtId="49" fontId="3" fillId="0" borderId="0" xfId="2" applyNumberFormat="1" applyAlignment="1"/>
    <xf numFmtId="22" fontId="3" fillId="0" borderId="0" xfId="2" applyNumberFormat="1"/>
    <xf numFmtId="0" fontId="3" fillId="0" borderId="0" xfId="2" applyNumberFormat="1"/>
    <xf numFmtId="0" fontId="4" fillId="0" borderId="0" xfId="0" applyFont="1" applyAlignment="1">
      <alignment horizontal="left"/>
    </xf>
    <xf numFmtId="165" fontId="3" fillId="0" borderId="0" xfId="2" applyNumberFormat="1"/>
    <xf numFmtId="0" fontId="13" fillId="0" borderId="0" xfId="0" applyFont="1"/>
    <xf numFmtId="0" fontId="13" fillId="0" borderId="0" xfId="0" applyFont="1" applyAlignment="1">
      <alignment horizontal="right"/>
    </xf>
    <xf numFmtId="0" fontId="14" fillId="0" borderId="0" xfId="0" applyFont="1" applyAlignment="1">
      <alignment horizontal="right"/>
    </xf>
    <xf numFmtId="0" fontId="13" fillId="0" borderId="2" xfId="0" applyFont="1" applyBorder="1" applyAlignment="1">
      <alignment horizontal="right"/>
    </xf>
    <xf numFmtId="0" fontId="14" fillId="0" borderId="2" xfId="0" applyFont="1" applyBorder="1" applyAlignment="1">
      <alignment horizontal="right"/>
    </xf>
    <xf numFmtId="164" fontId="0" fillId="0" borderId="0" xfId="0" applyNumberFormat="1"/>
    <xf numFmtId="164" fontId="13" fillId="0" borderId="1" xfId="0" applyNumberFormat="1" applyFont="1" applyBorder="1"/>
    <xf numFmtId="164" fontId="14" fillId="0" borderId="1" xfId="0" applyNumberFormat="1" applyFont="1" applyBorder="1"/>
    <xf numFmtId="0" fontId="13" fillId="0" borderId="2" xfId="0" applyFont="1" applyBorder="1"/>
    <xf numFmtId="164" fontId="13" fillId="0" borderId="2" xfId="0" applyNumberFormat="1" applyFont="1" applyBorder="1"/>
    <xf numFmtId="164" fontId="14" fillId="0" borderId="2" xfId="0" applyNumberFormat="1" applyFont="1" applyBorder="1"/>
    <xf numFmtId="0" fontId="15" fillId="0" borderId="0" xfId="0" applyFont="1" applyAlignment="1">
      <alignment horizontal="right"/>
    </xf>
    <xf numFmtId="164" fontId="15" fillId="0" borderId="0" xfId="0" applyNumberFormat="1" applyFont="1"/>
    <xf numFmtId="164" fontId="16" fillId="0" borderId="0" xfId="0" applyNumberFormat="1" applyFont="1"/>
    <xf numFmtId="0" fontId="8" fillId="0" borderId="0" xfId="0" applyFont="1" applyAlignment="1">
      <alignment horizontal="right"/>
    </xf>
    <xf numFmtId="164" fontId="8" fillId="0" borderId="0" xfId="0" applyNumberFormat="1" applyFont="1"/>
    <xf numFmtId="0" fontId="13" fillId="0" borderId="1" xfId="0" applyFont="1" applyBorder="1"/>
    <xf numFmtId="0" fontId="16" fillId="0" borderId="0" xfId="0" applyFont="1"/>
    <xf numFmtId="164" fontId="8" fillId="0" borderId="0" xfId="0" applyNumberFormat="1" applyFont="1" applyFill="1"/>
    <xf numFmtId="165" fontId="0" fillId="3" borderId="0" xfId="0" applyNumberFormat="1" applyFill="1"/>
    <xf numFmtId="165" fontId="0" fillId="4" borderId="0" xfId="0" applyNumberFormat="1" applyFill="1"/>
    <xf numFmtId="165" fontId="0" fillId="5" borderId="0" xfId="0" applyNumberFormat="1" applyFill="1"/>
    <xf numFmtId="0" fontId="2" fillId="0" borderId="0" xfId="2" applyFont="1"/>
    <xf numFmtId="0" fontId="1" fillId="0" borderId="0" xfId="0" applyNumberFormat="1" applyFont="1" applyFill="1" applyBorder="1" applyAlignment="1" applyProtection="1"/>
    <xf numFmtId="49" fontId="1" fillId="0" borderId="0" xfId="0" applyNumberFormat="1" applyFont="1" applyFill="1" applyBorder="1" applyAlignment="1" applyProtection="1"/>
    <xf numFmtId="165" fontId="1" fillId="0" borderId="0" xfId="0" applyNumberFormat="1" applyFont="1" applyFill="1" applyBorder="1" applyAlignment="1" applyProtection="1"/>
    <xf numFmtId="22" fontId="1" fillId="0" borderId="0" xfId="0" applyNumberFormat="1" applyFont="1" applyFill="1" applyBorder="1" applyAlignment="1" applyProtection="1"/>
    <xf numFmtId="0" fontId="1" fillId="0" borderId="0" xfId="0" applyFont="1" applyFill="1" applyBorder="1" applyAlignment="1" applyProtection="1"/>
    <xf numFmtId="0" fontId="17" fillId="0" borderId="0" xfId="0" applyFont="1" applyAlignment="1">
      <alignment horizontal="left"/>
    </xf>
    <xf numFmtId="0" fontId="1" fillId="0" borderId="0" xfId="2" applyFont="1"/>
    <xf numFmtId="0" fontId="18" fillId="4" borderId="4" xfId="0" applyFont="1" applyFill="1" applyBorder="1" applyAlignment="1">
      <alignment horizontal="right"/>
    </xf>
    <xf numFmtId="164" fontId="18" fillId="4" borderId="5" xfId="0" applyNumberFormat="1" applyFont="1" applyFill="1" applyBorder="1"/>
    <xf numFmtId="164" fontId="19" fillId="4" borderId="5" xfId="0" applyNumberFormat="1" applyFont="1" applyFill="1" applyBorder="1"/>
    <xf numFmtId="164" fontId="18" fillId="4" borderId="6" xfId="0" applyNumberFormat="1" applyFont="1" applyFill="1" applyBorder="1"/>
    <xf numFmtId="164" fontId="19" fillId="4" borderId="7" xfId="0" applyNumberFormat="1" applyFont="1" applyFill="1" applyBorder="1"/>
    <xf numFmtId="164" fontId="19" fillId="4" borderId="6" xfId="0" applyNumberFormat="1" applyFont="1" applyFill="1" applyBorder="1"/>
    <xf numFmtId="165" fontId="19" fillId="4" borderId="6" xfId="0" applyNumberFormat="1" applyFont="1" applyFill="1" applyBorder="1"/>
    <xf numFmtId="165" fontId="19" fillId="4" borderId="5" xfId="0" applyNumberFormat="1" applyFont="1" applyFill="1" applyBorder="1"/>
    <xf numFmtId="165" fontId="19" fillId="4" borderId="7" xfId="0" applyNumberFormat="1" applyFont="1" applyFill="1" applyBorder="1"/>
    <xf numFmtId="10" fontId="0" fillId="0" borderId="0" xfId="0" applyNumberFormat="1"/>
    <xf numFmtId="0" fontId="0" fillId="0" borderId="0" xfId="0" applyBorder="1" applyAlignment="1">
      <alignment horizontal="left" wrapText="1"/>
    </xf>
    <xf numFmtId="0" fontId="0" fillId="0" borderId="0" xfId="0" applyAlignment="1">
      <alignment horizontal="left" wrapText="1"/>
    </xf>
    <xf numFmtId="165" fontId="0" fillId="0" borderId="0" xfId="0" applyNumberFormat="1" applyFill="1"/>
    <xf numFmtId="0" fontId="0" fillId="0" borderId="0" xfId="0" applyAlignment="1">
      <alignment wrapText="1"/>
    </xf>
    <xf numFmtId="0" fontId="0" fillId="0" borderId="0" xfId="0" applyFill="1" applyAlignment="1">
      <alignment wrapText="1"/>
    </xf>
    <xf numFmtId="0" fontId="0" fillId="0" borderId="0" xfId="0" applyNumberFormat="1" applyBorder="1"/>
    <xf numFmtId="0" fontId="5" fillId="0" borderId="0" xfId="0" applyFont="1" applyAlignment="1">
      <alignment horizontal="left"/>
    </xf>
    <xf numFmtId="0" fontId="0" fillId="3" borderId="0" xfId="0" applyFill="1" applyAlignment="1">
      <alignment horizontal="left" wrapText="1"/>
    </xf>
    <xf numFmtId="0" fontId="0" fillId="3" borderId="0" xfId="0" applyFill="1" applyAlignment="1">
      <alignment horizontal="left" vertical="center" wrapText="1"/>
    </xf>
    <xf numFmtId="0" fontId="0" fillId="4" borderId="1" xfId="0" applyFill="1" applyBorder="1" applyAlignment="1">
      <alignment horizontal="left" wrapText="1"/>
    </xf>
    <xf numFmtId="0" fontId="0" fillId="5" borderId="1" xfId="0" applyFill="1" applyBorder="1" applyAlignment="1">
      <alignment horizontal="left" wrapText="1"/>
    </xf>
    <xf numFmtId="0" fontId="0" fillId="5" borderId="1" xfId="0" applyFill="1" applyBorder="1" applyAlignment="1">
      <alignment horizontal="left" vertical="center" wrapText="1"/>
    </xf>
    <xf numFmtId="165" fontId="18" fillId="4" borderId="5" xfId="0" applyNumberFormat="1" applyFont="1" applyFill="1" applyBorder="1"/>
    <xf numFmtId="0" fontId="21" fillId="0" borderId="0" xfId="0" applyFont="1" applyAlignment="1"/>
    <xf numFmtId="0" fontId="22" fillId="0" borderId="0" xfId="0" applyFont="1" applyAlignment="1"/>
    <xf numFmtId="0" fontId="23" fillId="0" borderId="0" xfId="0" applyFont="1" applyAlignment="1"/>
    <xf numFmtId="0" fontId="23" fillId="0" borderId="0" xfId="0" applyFont="1"/>
    <xf numFmtId="0" fontId="24" fillId="0" borderId="0" xfId="0" applyFont="1"/>
    <xf numFmtId="0" fontId="0" fillId="5" borderId="4" xfId="0" applyFill="1" applyBorder="1" applyAlignment="1">
      <alignment horizontal="center"/>
    </xf>
    <xf numFmtId="165" fontId="0" fillId="0" borderId="6" xfId="0" applyNumberFormat="1" applyBorder="1"/>
    <xf numFmtId="165" fontId="0" fillId="0" borderId="5" xfId="0" applyNumberFormat="1" applyBorder="1"/>
    <xf numFmtId="165" fontId="0" fillId="0" borderId="4" xfId="0" applyNumberFormat="1" applyBorder="1"/>
    <xf numFmtId="165" fontId="0" fillId="0" borderId="7" xfId="0" applyNumberFormat="1" applyBorder="1"/>
    <xf numFmtId="0" fontId="26" fillId="0" borderId="0" xfId="0" applyFont="1" applyAlignment="1">
      <alignment wrapText="1"/>
    </xf>
    <xf numFmtId="0" fontId="27" fillId="0" borderId="0" xfId="0" applyFont="1" applyAlignment="1">
      <alignment horizontal="left"/>
    </xf>
    <xf numFmtId="0" fontId="20" fillId="0" borderId="0" xfId="0" applyFont="1" applyFill="1" applyBorder="1" applyAlignment="1">
      <alignment horizontal="center"/>
    </xf>
    <xf numFmtId="165" fontId="20" fillId="0" borderId="0" xfId="0" applyNumberFormat="1" applyFont="1" applyFill="1" applyBorder="1"/>
    <xf numFmtId="0" fontId="30" fillId="0" borderId="0" xfId="0" applyFont="1"/>
  </cellXfs>
  <cellStyles count="3">
    <cellStyle name="Normal" xfId="0" builtinId="0"/>
    <cellStyle name="Normal 2" xfId="1" xr:uid="{13D8BFEE-44AC-4193-86F7-2ECD2A2B2230}"/>
    <cellStyle name="Normal 3" xfId="2" xr:uid="{0D1FBCDE-2EF5-490E-959E-D42248E22757}"/>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7" formatCode="dd/mm/yyyy\ hh:mm"/>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27" formatCode="dd/mm/yyyy\ hh:mm"/>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165" formatCode="&quot;£&quot;#,##0.0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30" formatCode="@"/>
      <alignment horizontal="general" vertical="bottom" textRotation="0" wrapText="0" indent="0" justifyLastLine="0" shrinkToFit="0" readingOrder="0"/>
    </dxf>
    <dxf>
      <numFmt numFmtId="165" formatCode="&quot;£&quot;#,##0.00"/>
    </dxf>
    <dxf>
      <numFmt numFmtId="165" formatCode="&quot;£&quot;#,##0.00"/>
    </dxf>
    <dxf>
      <numFmt numFmtId="165" formatCode="&quot;£&quot;#,##0.00"/>
    </dxf>
    <dxf>
      <numFmt numFmtId="165" formatCode="&quot;£&quot;#,##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Thomas Fernandez Debets - Dep. President (Clubs and Societies)" id="{2018FE24-3314-DF4F-BDB4-BF203EB23855}" userId="S::dpcs@ic.ac.uk::019269b5-1b35-44e4-a1eb-31af734bab5f"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44)" backgroundRefresh="0" connectionId="1" xr16:uid="{9749E89D-2AD8-4FC2-80A0-5584C3F217C9}" autoFormatId="16" applyNumberFormats="0" applyBorderFormats="0" applyFontFormats="0" applyPatternFormats="0" applyAlignmentFormats="0" applyWidthHeightFormats="0">
  <queryTableRefresh nextId="28" unboundColumnsLeft="1" unboundColumnsRight="7">
    <queryTableFields count="23">
      <queryTableField id="16" dataBound="0" tableColumnId="16"/>
      <queryTableField id="1" name="Title" tableColumnId="1"/>
      <queryTableField id="2" name="Estimated No. Members" tableColumnId="2"/>
      <queryTableField id="3" name="Desired Membership Cost" tableColumnId="3"/>
      <queryTableField id="4" name="Code" tableColumnId="4"/>
      <queryTableField id="5" name="Total Cost" tableColumnId="5"/>
      <queryTableField id="6" name="Total Income" tableColumnId="6"/>
      <queryTableField id="7" name="Grant Requested" tableColumnId="7"/>
      <queryTableField id="8" name="Eligible Grant" tableColumnId="8"/>
      <queryTableField id="9" name="Grant Received" tableColumnId="9"/>
      <queryTableField id="10" name="Complete" tableColumnId="10"/>
      <queryTableField id="11" name="Exempt" tableColumnId="11"/>
      <queryTableField id="12" name="Period" tableColumnId="12"/>
      <queryTableField id="13" name="Modified" tableColumnId="13"/>
      <queryTableField id="15" name="Item Type" tableColumnId="14"/>
      <queryTableField id="14" name="Path" tableColumnId="15"/>
      <queryTableField id="17" dataBound="0" tableColumnId="17"/>
      <queryTableField id="18" dataBound="0" tableColumnId="18"/>
      <queryTableField id="25" dataBound="0" tableColumnId="25"/>
      <queryTableField id="23" dataBound="0" tableColumnId="23"/>
      <queryTableField id="26" dataBound="0" tableColumnId="26"/>
      <queryTableField id="24" dataBound="0" tableColumnId="24"/>
      <queryTableField id="27" dataBound="0" tableColumnId="27"/>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69DE973-FA2E-449D-98D1-5A1C65E533EE}" name="Table2" displayName="Table2" ref="A28:E42" totalsRowShown="0">
  <autoFilter ref="A28:E42" xr:uid="{DDE178DC-B9F8-4565-869D-412BF470BE3C}"/>
  <tableColumns count="5">
    <tableColumn id="1" xr3:uid="{5AACA48A-8220-4093-9C71-96EB7F5413ED}" name=" "/>
    <tableColumn id="2" xr3:uid="{FF4836D5-841A-4585-A989-F10710810828}" name="Current allocation" dataDxfId="60">
      <calculatedColumnFormula>SUMIFS(Table_query__44[Grant Received],Table_query__44[Column1],"AED")+SUMIFS(Table_query__44[Grant Received],Table_query__44[Column1],"AEE")+SUMIFS(Table_query__44[Grant Received],Table_query__44[Column1],"AEF")+SUMIFS(Table_query__44[Grant Received],Table_query__44[Column1],"AEME")+SUMIFS(Table_query__44[Grant Received],Table_query__44[Column1],"AEMU")</calculatedColumnFormula>
    </tableColumn>
    <tableColumn id="3" xr3:uid="{72EA43D0-EE82-45A0-B916-A696791A354C}" name="Model 1" dataDxfId="59">
      <calculatedColumnFormula>Table2[[#This Row],[Current allocation]]*0.95</calculatedColumnFormula>
    </tableColumn>
    <tableColumn id="4" xr3:uid="{0E6B4F8E-EC8D-4EF1-966A-799262D478D1}" name="Model 2" dataDxfId="58">
      <calculatedColumnFormula>Table2[[#This Row],[Current allocation]]*0.9</calculatedColumnFormula>
    </tableColumn>
    <tableColumn id="5" xr3:uid="{164B4404-300B-42FF-8092-7E0E9183BB1D}" name="Model 3" dataDxfId="57">
      <calculatedColumnFormula>Table2[[#This Row],[Current allocation]]*0.8</calculatedColumnFormula>
    </tableColumn>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D3FA9E-910C-4D54-98D9-D53F8B47740C}" name="Table_query__44" displayName="Table_query__44" ref="B1:X377" tableType="queryTable" totalsRowCount="1">
  <autoFilter ref="B1:X376" xr:uid="{0B1F0044-4303-47DB-8D8E-CC57A99A9BD3}"/>
  <sortState xmlns:xlrd2="http://schemas.microsoft.com/office/spreadsheetml/2017/richdata2" ref="C2:Q376">
    <sortCondition ref="C1:C376"/>
  </sortState>
  <tableColumns count="23">
    <tableColumn id="16" xr3:uid="{09CF8C21-32B6-4DBE-875D-BB54BDD3D139}" uniqueName="16" name="Column1" queryTableFieldId="16" dataDxfId="56" totalsRowDxfId="55"/>
    <tableColumn id="1" xr3:uid="{1C32BE37-E704-4339-8B7F-1D7E48EA8EC3}" uniqueName="Title" name="Title" queryTableFieldId="1" dataDxfId="54" totalsRowDxfId="53"/>
    <tableColumn id="2" xr3:uid="{FA642225-0CEC-4167-94D9-4417761F6057}" uniqueName="EstimatedNo_x005f_x002e_Members" name="Estimated No. Members" queryTableFieldId="2" dataDxfId="52" totalsRowDxfId="51"/>
    <tableColumn id="3" xr3:uid="{A6A0DC88-0687-42D2-A107-888D0ECC6C7A}" uniqueName="DesiredMembershipCost" name="Desired Membership Cost" queryTableFieldId="3" dataDxfId="50" totalsRowDxfId="49"/>
    <tableColumn id="4" xr3:uid="{EFF5133C-9619-4CC3-A87B-CF523CBAF1E8}" uniqueName="Code" name="Code" queryTableFieldId="4" dataDxfId="48" totalsRowDxfId="47"/>
    <tableColumn id="5" xr3:uid="{5FC5CB04-419E-4C61-964F-019F04A250A8}" uniqueName="TotalCost" name="Total Cost" queryTableFieldId="5" dataDxfId="46" totalsRowDxfId="45"/>
    <tableColumn id="6" xr3:uid="{50165E5A-7013-40E6-BCC4-58AA3ADCC619}" uniqueName="TotalIncome" name="Total Income" queryTableFieldId="6" dataDxfId="44" totalsRowDxfId="43"/>
    <tableColumn id="7" xr3:uid="{EBB08CFE-67B0-4261-AB62-7979C839651E}" uniqueName="GrantRequested" name="Grant Requested" queryTableFieldId="7" dataDxfId="42" totalsRowDxfId="41"/>
    <tableColumn id="8" xr3:uid="{82899E82-F69A-4973-9621-EEBA1018170B}" uniqueName="EligibleGrant" name="Eligible Grant" queryTableFieldId="8" dataDxfId="40" totalsRowDxfId="39"/>
    <tableColumn id="9" xr3:uid="{C7AF2D28-2EE8-4809-9B6C-5076B3481AC0}" uniqueName="GrantReceived" name="Grant Received" totalsRowFunction="sum" queryTableFieldId="9" dataDxfId="38" totalsRowDxfId="37" dataCellStyle="Normal 3"/>
    <tableColumn id="10" xr3:uid="{BF4C8E55-F318-4F96-B632-E2C312EF953E}" uniqueName="Complete" name="Complete" queryTableFieldId="10" dataDxfId="36" totalsRowDxfId="35"/>
    <tableColumn id="11" xr3:uid="{D7DA0AD3-356A-451E-A731-203185027154}" uniqueName="Exempt" name="Exempt" queryTableFieldId="11" dataDxfId="34" totalsRowDxfId="33"/>
    <tableColumn id="12" xr3:uid="{2B880B54-9A90-4D96-8911-6DE4C89EBF36}" uniqueName="Period" name="Period" queryTableFieldId="12" dataDxfId="32" totalsRowDxfId="31"/>
    <tableColumn id="13" xr3:uid="{64A950A3-DF85-414D-B6D1-C51A49FFAA83}" uniqueName="Modified" name="Modified" queryTableFieldId="13" dataDxfId="30" totalsRowDxfId="29"/>
    <tableColumn id="14" xr3:uid="{B2F2D294-6EAA-4464-83EF-A76EFD98994B}" uniqueName="FSObjType" name="Item Type" queryTableFieldId="15" dataDxfId="28" totalsRowDxfId="27"/>
    <tableColumn id="15" xr3:uid="{3497B85A-F6DF-4C45-97C3-32FF82758B7D}" uniqueName="FileDirRef" name="Path" queryTableFieldId="14" dataDxfId="26" totalsRowDxfId="25"/>
    <tableColumn id="17" xr3:uid="{9FB26E51-904D-4FA6-8EDB-F95C26920E37}" uniqueName="17" name="Column2" queryTableFieldId="17" dataDxfId="24" totalsRowDxfId="23"/>
    <tableColumn id="18" xr3:uid="{02EE3C76-4897-4D48-96A3-7296F18B8171}" uniqueName="18" name="Model 1" queryTableFieldId="18" dataDxfId="22" totalsRowDxfId="21">
      <calculatedColumnFormula>Table_query__44[[#This Row],[Grant Received]]*0.95</calculatedColumnFormula>
    </tableColumn>
    <tableColumn id="25" xr3:uid="{85C9DC67-7623-430D-B482-8C6E48509275}" uniqueName="25" name="Model 1 notes" queryTableFieldId="25" dataDxfId="20" totalsRowDxfId="19" dataCellStyle="Normal 3"/>
    <tableColumn id="23" xr3:uid="{284E8858-912B-4699-A1D0-FE2AB9620F4B}" uniqueName="23" name="Model 2" queryTableFieldId="23" dataDxfId="18">
      <calculatedColumnFormula>Table_query__44[[#This Row],[Grant Received]]*0.9</calculatedColumnFormula>
    </tableColumn>
    <tableColumn id="26" xr3:uid="{B4A474C9-55AC-458C-9D33-9B715F6C9007}" uniqueName="26" name="Model 2 notes" queryTableFieldId="26" dataDxfId="17" dataCellStyle="Normal 3"/>
    <tableColumn id="24" xr3:uid="{E77CDC19-CCC1-4574-8AA6-1CC32990E0E7}" uniqueName="24" name="Model 3" queryTableFieldId="24" dataDxfId="16">
      <calculatedColumnFormula>Table_query__44[[#This Row],[Grant Received]]*0.8</calculatedColumnFormula>
    </tableColumn>
    <tableColumn id="27" xr3:uid="{5C388E32-2960-4504-AEF9-ABD295E6979B}" uniqueName="27" name="Model 3 notes" queryTableFieldId="27" dataDxfId="1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 dT="2020-06-25T09:58:20.60" personId="{2018FE24-3314-DF4F-BDB4-BF203EB23855}" id="{239CF5D2-CF46-344C-B786-1676CD82ECDF}">
    <text>Not £14,089 as per MM's explanation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B8" dT="2020-06-28T12:12:42.96" personId="{2018FE24-3314-DF4F-BDB4-BF203EB23855}" id="{C6309049-578B-46BF-A901-50D1406BCFE8}">
    <text>2018/19 allocation: £415,337.02</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3C833-E202-1245-96D4-4EAB186CA3E9}">
  <dimension ref="A2:G43"/>
  <sheetViews>
    <sheetView topLeftCell="A17" zoomScale="90" zoomScaleNormal="90" workbookViewId="0">
      <selection activeCell="B37" sqref="B37"/>
    </sheetView>
  </sheetViews>
  <sheetFormatPr baseColWidth="10" defaultColWidth="11" defaultRowHeight="16"/>
  <cols>
    <col min="1" max="1" width="66.5" bestFit="1" customWidth="1"/>
    <col min="2" max="2" width="16.6640625" bestFit="1" customWidth="1"/>
    <col min="3" max="4" width="11.6640625" customWidth="1"/>
    <col min="5" max="5" width="11.5" customWidth="1"/>
  </cols>
  <sheetData>
    <row r="2" spans="1:7" ht="21">
      <c r="A2" s="90" t="s">
        <v>1</v>
      </c>
      <c r="B2" s="18"/>
      <c r="C2" s="18"/>
      <c r="D2" s="18"/>
      <c r="E2" s="18"/>
      <c r="F2" s="18"/>
      <c r="G2" s="18"/>
    </row>
    <row r="3" spans="1:7" ht="20">
      <c r="A3" s="91" t="s">
        <v>0</v>
      </c>
      <c r="B3" s="19"/>
      <c r="C3" s="1"/>
      <c r="D3" s="1"/>
      <c r="E3" s="1"/>
      <c r="F3" s="1"/>
      <c r="G3" s="1"/>
    </row>
    <row r="5" spans="1:7">
      <c r="C5" s="27"/>
    </row>
    <row r="6" spans="1:7" ht="19">
      <c r="A6" s="92" t="s">
        <v>2</v>
      </c>
      <c r="B6" s="27"/>
    </row>
    <row r="8" spans="1:7" ht="17">
      <c r="A8" s="94" t="s">
        <v>348</v>
      </c>
    </row>
    <row r="9" spans="1:7">
      <c r="A9" t="s">
        <v>341</v>
      </c>
      <c r="B9" s="96">
        <f>'ADF Breakdown'!B15</f>
        <v>56932.510000000009</v>
      </c>
    </row>
    <row r="10" spans="1:7">
      <c r="A10" t="s">
        <v>342</v>
      </c>
      <c r="B10" s="97">
        <f>'ADF Breakdown'!B25</f>
        <v>44925.539999999994</v>
      </c>
    </row>
    <row r="11" spans="1:7">
      <c r="A11" t="s">
        <v>343</v>
      </c>
      <c r="B11" s="97">
        <f>'ADF Breakdown'!B26</f>
        <v>44695.091950725633</v>
      </c>
    </row>
    <row r="12" spans="1:7">
      <c r="A12" s="13" t="s">
        <v>339</v>
      </c>
      <c r="B12" s="98">
        <f>'ADF Breakdown'!B27</f>
        <v>89620.631950725627</v>
      </c>
    </row>
    <row r="14" spans="1:7" ht="17">
      <c r="A14" s="94" t="s">
        <v>344</v>
      </c>
      <c r="B14" s="95" t="s">
        <v>532</v>
      </c>
      <c r="C14" s="102" t="s">
        <v>532</v>
      </c>
      <c r="D14" s="102" t="s">
        <v>533</v>
      </c>
      <c r="E14" s="102" t="s">
        <v>534</v>
      </c>
      <c r="F14" s="104"/>
    </row>
    <row r="15" spans="1:7">
      <c r="A15" t="s">
        <v>345</v>
      </c>
      <c r="B15" s="96">
        <f>IF($B$14="Current allocation", 20000, 15000)</f>
        <v>15000</v>
      </c>
      <c r="C15" s="103">
        <f t="shared" ref="C15:E15" si="0">IF($B$14="Current allocation", 20000, 15000)</f>
        <v>15000</v>
      </c>
      <c r="D15" s="103">
        <f t="shared" si="0"/>
        <v>15000</v>
      </c>
      <c r="E15" s="103">
        <f t="shared" si="0"/>
        <v>15000</v>
      </c>
      <c r="F15" s="104"/>
    </row>
    <row r="16" spans="1:7">
      <c r="A16" t="s">
        <v>346</v>
      </c>
      <c r="B16" s="97">
        <f>IF($B$14="Current allocation",20000,IF(B14="model 1",20000,10000))</f>
        <v>20000</v>
      </c>
      <c r="C16" s="103">
        <f t="shared" ref="C16:E16" si="1">IF($B$14="Current allocation",20000,IF(C14="model 1",20000,10000))</f>
        <v>20000</v>
      </c>
      <c r="D16" s="103">
        <f t="shared" si="1"/>
        <v>10000</v>
      </c>
      <c r="E16" s="103">
        <f t="shared" si="1"/>
        <v>10000</v>
      </c>
      <c r="F16" s="104"/>
    </row>
    <row r="17" spans="1:6">
      <c r="A17" s="13" t="s">
        <v>347</v>
      </c>
      <c r="B17" s="98">
        <f>$B$12-SUM(B15:B16)</f>
        <v>54620.631950725627</v>
      </c>
      <c r="C17" s="103">
        <f t="shared" ref="C17:E17" si="2">$B$12-SUM(C15:C16)</f>
        <v>54620.631950725627</v>
      </c>
      <c r="D17" s="103">
        <f t="shared" si="2"/>
        <v>64620.631950725627</v>
      </c>
      <c r="E17" s="103">
        <f t="shared" si="2"/>
        <v>64620.631950725627</v>
      </c>
      <c r="F17" s="104"/>
    </row>
    <row r="20" spans="1:6" ht="19">
      <c r="A20" s="93" t="s">
        <v>354</v>
      </c>
    </row>
    <row r="22" spans="1:6" ht="17">
      <c r="A22" s="94" t="s">
        <v>350</v>
      </c>
    </row>
    <row r="23" spans="1:6">
      <c r="A23" s="30" t="s">
        <v>349</v>
      </c>
      <c r="B23" s="98">
        <f>'CSP Budgeting models'!B7</f>
        <v>428602</v>
      </c>
    </row>
    <row r="24" spans="1:6">
      <c r="A24" s="29" t="s">
        <v>351</v>
      </c>
      <c r="B24" s="97">
        <f>'CSP Budgeting models'!B8</f>
        <v>426143.95</v>
      </c>
    </row>
    <row r="25" spans="1:6">
      <c r="A25" s="29" t="s">
        <v>352</v>
      </c>
      <c r="B25" s="99">
        <f>'ADF Breakdown'!B22</f>
        <v>2458.0499999999884</v>
      </c>
    </row>
    <row r="27" spans="1:6" ht="17">
      <c r="A27" s="94" t="s">
        <v>353</v>
      </c>
    </row>
    <row r="28" spans="1:6" ht="34" customHeight="1">
      <c r="A28" s="84" t="s">
        <v>568</v>
      </c>
      <c r="B28" s="84"/>
    </row>
    <row r="29" spans="1:6" ht="17">
      <c r="A29" s="80" t="str">
        <f>'CSP Budgeting models'!A12</f>
        <v xml:space="preserve">  *Projected* additional1 proportion of unspent CSP Grant in AY 2020/21:</v>
      </c>
      <c r="B29">
        <f>'CSP Budgeting models'!B12</f>
        <v>0.05</v>
      </c>
    </row>
    <row r="30" spans="1:6">
      <c r="A30" t="str">
        <f>'CSP Budgeting models'!A13</f>
        <v xml:space="preserve">  *Projected* additional1 unspent Grant in AY 2020/21:</v>
      </c>
      <c r="B30" s="3">
        <f>'CSP Budgeting models'!B13</f>
        <v>21307.197500000002</v>
      </c>
    </row>
    <row r="31" spans="1:6">
      <c r="A31" t="str">
        <f>'CSP Budgeting models'!A15</f>
        <v xml:space="preserve">    Total contribution from CSP funds to the wider-Union budget:</v>
      </c>
      <c r="B31" s="56">
        <f>'CSP Budgeting models'!B15</f>
        <v>75927.829450725636</v>
      </c>
    </row>
    <row r="32" spans="1:6" ht="50" customHeight="1">
      <c r="A32" s="86" t="s">
        <v>569</v>
      </c>
      <c r="B32" s="86"/>
    </row>
    <row r="33" spans="1:2" ht="17">
      <c r="A33" s="80" t="s">
        <v>565</v>
      </c>
      <c r="B33">
        <f>'CSP Budgeting models'!B17</f>
        <v>0.1</v>
      </c>
    </row>
    <row r="34" spans="1:2">
      <c r="A34" t="s">
        <v>563</v>
      </c>
      <c r="B34" s="28">
        <f>'CSP Budgeting models'!B18</f>
        <v>42614.395000000004</v>
      </c>
    </row>
    <row r="35" spans="1:2">
      <c r="A35" t="s">
        <v>564</v>
      </c>
      <c r="B35" s="57">
        <f>'CSP Budgeting models'!B20</f>
        <v>107235.02695072563</v>
      </c>
    </row>
    <row r="36" spans="1:2" ht="66" customHeight="1">
      <c r="A36" s="87" t="s">
        <v>570</v>
      </c>
      <c r="B36" s="87"/>
    </row>
    <row r="37" spans="1:2" ht="17">
      <c r="A37" s="80" t="s">
        <v>565</v>
      </c>
      <c r="B37">
        <f>'CSP Budgeting models'!B22</f>
        <v>0.2</v>
      </c>
    </row>
    <row r="38" spans="1:2">
      <c r="A38" t="s">
        <v>563</v>
      </c>
      <c r="B38" s="28">
        <f>'CSP Budgeting models'!B23</f>
        <v>85228.790000000008</v>
      </c>
    </row>
    <row r="39" spans="1:2">
      <c r="A39" t="s">
        <v>564</v>
      </c>
      <c r="B39" s="58">
        <f>'CSP Budgeting models'!B25</f>
        <v>149849.42195072563</v>
      </c>
    </row>
    <row r="43" spans="1:2" ht="54">
      <c r="A43" s="100" t="s">
        <v>572</v>
      </c>
    </row>
  </sheetData>
  <mergeCells count="3">
    <mergeCell ref="A28:B28"/>
    <mergeCell ref="A32:B32"/>
    <mergeCell ref="A36:B3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FCDB177-794D-C844-94BD-472ECCF0A012}">
          <x14:formula1>
            <xm:f>'CSP Budgeting models'!$B$28:$E$28</xm:f>
          </x14:formula1>
          <xm:sqref>B14:E14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FF983-9780-694E-8A44-2301E6125151}">
  <dimension ref="A2:G66"/>
  <sheetViews>
    <sheetView topLeftCell="A12" zoomScale="90" zoomScaleNormal="90" workbookViewId="0">
      <selection activeCell="B27" sqref="B27"/>
    </sheetView>
  </sheetViews>
  <sheetFormatPr baseColWidth="10" defaultColWidth="11" defaultRowHeight="16"/>
  <cols>
    <col min="1" max="1" width="42.83203125" bestFit="1" customWidth="1"/>
    <col min="2" max="2" width="12.33203125" style="4" bestFit="1" customWidth="1"/>
    <col min="3" max="3" width="12.1640625" bestFit="1" customWidth="1"/>
    <col min="4" max="4" width="42.83203125" bestFit="1" customWidth="1"/>
    <col min="5" max="5" width="12.1640625" customWidth="1"/>
  </cols>
  <sheetData>
    <row r="2" spans="1:7" ht="21">
      <c r="A2" s="90" t="s">
        <v>2</v>
      </c>
      <c r="B2" s="18"/>
      <c r="C2" s="18"/>
      <c r="D2" s="18"/>
      <c r="E2" s="18"/>
      <c r="F2" s="18"/>
      <c r="G2" s="18"/>
    </row>
    <row r="3" spans="1:7" ht="20">
      <c r="A3" s="91" t="s">
        <v>3</v>
      </c>
      <c r="B3" s="19"/>
      <c r="C3" s="1"/>
      <c r="D3" s="1"/>
      <c r="E3" s="1"/>
      <c r="F3" s="1"/>
      <c r="G3" s="1"/>
    </row>
    <row r="6" spans="1:7" ht="17">
      <c r="A6" s="94" t="s">
        <v>8</v>
      </c>
    </row>
    <row r="7" spans="1:7">
      <c r="A7" t="s">
        <v>5</v>
      </c>
      <c r="B7" s="3">
        <v>4821.232</v>
      </c>
    </row>
    <row r="8" spans="1:7">
      <c r="A8" t="s">
        <v>6</v>
      </c>
      <c r="B8" s="3">
        <v>71127</v>
      </c>
    </row>
    <row r="9" spans="1:7">
      <c r="A9" s="5" t="s">
        <v>7</v>
      </c>
      <c r="B9" s="6">
        <v>71127</v>
      </c>
    </row>
    <row r="11" spans="1:7">
      <c r="A11" t="s">
        <v>356</v>
      </c>
    </row>
    <row r="12" spans="1:7">
      <c r="A12" t="s">
        <v>9</v>
      </c>
      <c r="B12" s="3">
        <f>415198.49-401004</f>
        <v>14194.489999999991</v>
      </c>
    </row>
    <row r="14" spans="1:7" ht="17">
      <c r="A14" s="94" t="s">
        <v>4</v>
      </c>
    </row>
    <row r="15" spans="1:7">
      <c r="A15" t="s">
        <v>11</v>
      </c>
      <c r="B15" s="3">
        <f>B9-B12</f>
        <v>56932.510000000009</v>
      </c>
    </row>
    <row r="16" spans="1:7">
      <c r="A16" t="s">
        <v>10</v>
      </c>
      <c r="B16" s="3">
        <f>14465.02</f>
        <v>14465.02</v>
      </c>
    </row>
    <row r="17" spans="1:7">
      <c r="A17" s="5" t="s">
        <v>12</v>
      </c>
      <c r="B17" s="6">
        <f>B15-B16</f>
        <v>42467.490000000005</v>
      </c>
    </row>
    <row r="19" spans="1:7">
      <c r="A19" t="s">
        <v>13</v>
      </c>
      <c r="B19" s="3">
        <f>'CSP Budgeting models'!B7</f>
        <v>428602</v>
      </c>
    </row>
    <row r="20" spans="1:7">
      <c r="A20" t="s">
        <v>15</v>
      </c>
      <c r="B20" s="3">
        <v>419204.71</v>
      </c>
    </row>
    <row r="21" spans="1:7">
      <c r="A21" t="s">
        <v>14</v>
      </c>
      <c r="B21" s="3">
        <v>6939.24</v>
      </c>
      <c r="C21" s="4"/>
    </row>
    <row r="22" spans="1:7">
      <c r="A22" t="s">
        <v>16</v>
      </c>
      <c r="B22" s="3">
        <f>B19-SUM(B20:B21)</f>
        <v>2458.0499999999884</v>
      </c>
    </row>
    <row r="24" spans="1:7" ht="17">
      <c r="A24" s="94" t="s">
        <v>17</v>
      </c>
    </row>
    <row r="25" spans="1:7">
      <c r="A25" t="s">
        <v>18</v>
      </c>
      <c r="B25" s="3">
        <f>B17+B22</f>
        <v>44925.539999999994</v>
      </c>
    </row>
    <row r="26" spans="1:7">
      <c r="A26" t="s">
        <v>338</v>
      </c>
      <c r="B26" s="3">
        <f>B46</f>
        <v>44695.091950725633</v>
      </c>
      <c r="D26" s="76">
        <f>B26/415337</f>
        <v>0.10761163091832809</v>
      </c>
    </row>
    <row r="27" spans="1:7">
      <c r="A27" s="13" t="s">
        <v>339</v>
      </c>
      <c r="B27" s="20">
        <f>SUM(B25:B26)</f>
        <v>89620.631950725627</v>
      </c>
    </row>
    <row r="29" spans="1:7" ht="17" thickBot="1">
      <c r="A29" s="23"/>
      <c r="B29" s="24"/>
      <c r="C29" s="23"/>
      <c r="D29" s="23"/>
      <c r="E29" s="23"/>
      <c r="F29" s="23"/>
      <c r="G29" s="23"/>
    </row>
    <row r="30" spans="1:7">
      <c r="A30" s="21"/>
      <c r="B30" s="22"/>
      <c r="C30" s="21"/>
      <c r="D30" s="21"/>
      <c r="E30" s="21"/>
      <c r="F30" s="21"/>
      <c r="G30" s="21"/>
    </row>
    <row r="31" spans="1:7">
      <c r="A31" s="14" t="s">
        <v>322</v>
      </c>
      <c r="B31" s="15">
        <f>SUM(B32:B44)</f>
        <v>145042.62</v>
      </c>
      <c r="D31" s="14" t="s">
        <v>323</v>
      </c>
      <c r="E31" s="15">
        <f>SUM(E32:E44)</f>
        <v>107966.70999999996</v>
      </c>
    </row>
    <row r="32" spans="1:7">
      <c r="A32" s="8" t="s">
        <v>326</v>
      </c>
      <c r="B32" s="3">
        <f>19634.59+16.5+362.96</f>
        <v>20014.05</v>
      </c>
      <c r="D32" s="7" t="str">
        <f t="shared" ref="D32:D44" si="0">$A32</f>
        <v>Arts &amp; Entertainment Sector (400):</v>
      </c>
      <c r="E32" s="3">
        <f>'ANNEX A_ADF (18-19 YTD 190628)'!G32</f>
        <v>12562.719999999998</v>
      </c>
    </row>
    <row r="33" spans="1:7">
      <c r="A33" s="8" t="s">
        <v>327</v>
      </c>
      <c r="B33" s="3">
        <f>52584.1+48.68+50.05+0.77+106.25+721.93</f>
        <v>53511.78</v>
      </c>
      <c r="D33" s="7" t="str">
        <f t="shared" si="0"/>
        <v>Sports Sector (000):</v>
      </c>
      <c r="E33" s="3">
        <f>'ANNEX A_ADF (18-19 YTD 190628)'!G286</f>
        <v>18338.719999999998</v>
      </c>
    </row>
    <row r="34" spans="1:7">
      <c r="A34" s="8" t="s">
        <v>328</v>
      </c>
      <c r="B34" s="3">
        <f>693.48+410.71+288.52</f>
        <v>1392.71</v>
      </c>
      <c r="D34" s="7" t="str">
        <f t="shared" si="0"/>
        <v>Knowledge Sector (200):</v>
      </c>
      <c r="E34" s="3">
        <f>'ANNEX A_ADF (18-19 YTD 190628)'!G171</f>
        <v>1554.3600000000001</v>
      </c>
    </row>
    <row r="35" spans="1:7">
      <c r="A35" s="8" t="s">
        <v>329</v>
      </c>
      <c r="B35" s="3">
        <f>-3439.98+6006.72</f>
        <v>2566.7400000000002</v>
      </c>
      <c r="D35" s="7" t="str">
        <f t="shared" si="0"/>
        <v>Culture Sector (300):</v>
      </c>
      <c r="E35" s="3">
        <f>'ANNEX A_ADF (18-19 YTD 190628)'!G102</f>
        <v>1776.92</v>
      </c>
    </row>
    <row r="36" spans="1:7">
      <c r="A36" s="8" t="s">
        <v>330</v>
      </c>
      <c r="B36" s="3">
        <f>2629.57+252.69</f>
        <v>2882.26</v>
      </c>
      <c r="D36" s="7" t="str">
        <f t="shared" si="0"/>
        <v>Community Sector (755):</v>
      </c>
      <c r="E36" s="3">
        <f>'ANNEX A_ADF (18-19 YTD 190628)'!G57</f>
        <v>6832.95</v>
      </c>
    </row>
    <row r="37" spans="1:7">
      <c r="A37" s="8" t="s">
        <v>331</v>
      </c>
      <c r="B37" s="3">
        <f>18498.98+83.46+1142.28</f>
        <v>19724.719999999998</v>
      </c>
      <c r="D37" s="7" t="str">
        <f t="shared" si="0"/>
        <v>Recreation Sector (100):</v>
      </c>
      <c r="E37" s="3">
        <f>'ANNEX A_ADF (18-19 YTD 190628)'!G220</f>
        <v>10680.079999999998</v>
      </c>
    </row>
    <row r="38" spans="1:7">
      <c r="A38" s="8" t="s">
        <v>19</v>
      </c>
      <c r="B38" s="3">
        <v>40</v>
      </c>
      <c r="D38" s="7" t="str">
        <f t="shared" si="0"/>
        <v>NAC:</v>
      </c>
      <c r="E38" s="3">
        <f>'ANNEX A_ADF (18-19 YTD 190628)'!G175</f>
        <v>125</v>
      </c>
    </row>
    <row r="39" spans="1:7">
      <c r="A39" s="8" t="s">
        <v>332</v>
      </c>
      <c r="B39" s="3">
        <v>12254.09</v>
      </c>
      <c r="D39" s="7" t="str">
        <f t="shared" si="0"/>
        <v>City &amp; Guild College Union:</v>
      </c>
      <c r="E39" s="3">
        <f>'ANNEX A_ADF (18-19 YTD 190628)'!G75</f>
        <v>6416.63</v>
      </c>
    </row>
    <row r="40" spans="1:7">
      <c r="A40" s="8" t="s">
        <v>333</v>
      </c>
      <c r="B40" s="3">
        <f>3610.74+4+210.96</f>
        <v>3825.7</v>
      </c>
      <c r="D40" s="7" t="str">
        <f t="shared" si="0"/>
        <v>Royal College of Science Union:</v>
      </c>
      <c r="E40" s="3">
        <f>'ANNEX A_ADF (18-19 YTD 190628)'!G182</f>
        <v>2869.27</v>
      </c>
    </row>
    <row r="41" spans="1:7">
      <c r="A41" s="8" t="s">
        <v>334</v>
      </c>
      <c r="B41" s="3">
        <f>503.14+67.64</f>
        <v>570.78</v>
      </c>
      <c r="D41" s="7" t="str">
        <f t="shared" si="0"/>
        <v>Royal School of Mines Union:</v>
      </c>
      <c r="E41" s="3">
        <f>'ANNEX A_ADF (18-19 YTD 190628)'!G229</f>
        <v>3902.6999999999994</v>
      </c>
    </row>
    <row r="42" spans="1:7">
      <c r="A42" s="8" t="s">
        <v>335</v>
      </c>
      <c r="B42" s="3">
        <f>23159.24+1257.93+83.73</f>
        <v>24500.9</v>
      </c>
      <c r="D42" s="7" t="str">
        <f t="shared" si="0"/>
        <v>Imperial College School of Medicine Students' Union:</v>
      </c>
      <c r="E42" s="3">
        <f>'ANNEX A_ADF (18-19 YTD 190628)'!G146</f>
        <v>42269.799999999996</v>
      </c>
    </row>
    <row r="43" spans="1:7">
      <c r="A43" s="8" t="s">
        <v>336</v>
      </c>
      <c r="B43" s="3">
        <v>3405.77</v>
      </c>
      <c r="D43" s="7" t="str">
        <f t="shared" si="0"/>
        <v>Graduate Students' Union:</v>
      </c>
      <c r="E43" s="3">
        <f>'ANNEX A_ADF (18-19 YTD 190628)'!G103</f>
        <v>356.5</v>
      </c>
    </row>
    <row r="44" spans="1:7">
      <c r="A44" s="8" t="s">
        <v>337</v>
      </c>
      <c r="B44" s="3">
        <v>353.12</v>
      </c>
      <c r="D44" s="7" t="str">
        <f t="shared" si="0"/>
        <v>Silwood Park Union:</v>
      </c>
      <c r="E44" s="3">
        <f>'ANNEX A_ADF (18-19 YTD 190628)'!G230</f>
        <v>281.05999999999995</v>
      </c>
    </row>
    <row r="46" spans="1:7">
      <c r="A46" s="16" t="s">
        <v>325</v>
      </c>
      <c r="B46" s="15">
        <f>SUM(B47:B59)</f>
        <v>44695.091950725633</v>
      </c>
      <c r="D46" s="14" t="s">
        <v>324</v>
      </c>
      <c r="E46" s="15">
        <f>SUM(E47:E59)</f>
        <v>33015.050000000003</v>
      </c>
      <c r="F46" s="3"/>
      <c r="G46" s="76">
        <f>E46/401004</f>
        <v>8.2330974254620909E-2</v>
      </c>
    </row>
    <row r="47" spans="1:7">
      <c r="A47" s="7" t="str">
        <f>A32</f>
        <v>Arts &amp; Entertainment Sector (400):</v>
      </c>
      <c r="B47" s="3">
        <f>B32*E47/E32</f>
        <v>4489.5686622005442</v>
      </c>
      <c r="D47" s="7" t="str">
        <f>A32</f>
        <v>Arts &amp; Entertainment Sector (400):</v>
      </c>
      <c r="E47" s="3">
        <f>'ANNEX B_ADF (18-19 Whole Year)'!F32</f>
        <v>2818.0800000000004</v>
      </c>
    </row>
    <row r="48" spans="1:7">
      <c r="A48" s="7" t="str">
        <f>A33</f>
        <v>Sports Sector (000):</v>
      </c>
      <c r="B48" s="3">
        <f>B33*E48/E33</f>
        <v>16335.800620926651</v>
      </c>
      <c r="D48" s="7" t="str">
        <f t="shared" ref="D48:D58" si="1">A33</f>
        <v>Sports Sector (000):</v>
      </c>
      <c r="E48" s="3">
        <f>'ANNEX B_ADF (18-19 Whole Year)'!F286</f>
        <v>5598.3499999999995</v>
      </c>
    </row>
    <row r="49" spans="1:7">
      <c r="A49" s="7" t="str">
        <f t="shared" ref="A48:A59" si="2">A34</f>
        <v>Knowledge Sector (200):</v>
      </c>
      <c r="B49" s="3">
        <f>B34*E49/E34</f>
        <v>1187.5165331712087</v>
      </c>
      <c r="D49" s="7" t="str">
        <f t="shared" si="1"/>
        <v>Knowledge Sector (200):</v>
      </c>
      <c r="E49" s="3">
        <f>'ANNEX B_ADF (18-19 Whole Year)'!F171</f>
        <v>1325.3500000000001</v>
      </c>
    </row>
    <row r="50" spans="1:7">
      <c r="A50" s="7" t="str">
        <f t="shared" si="2"/>
        <v>Culture Sector (300):</v>
      </c>
      <c r="B50" s="3">
        <f>B35*E50/E35</f>
        <v>1976.1609930666546</v>
      </c>
      <c r="D50" s="7" t="str">
        <f t="shared" si="1"/>
        <v>Culture Sector (300):</v>
      </c>
      <c r="E50" s="3">
        <f>'ANNEX B_ADF (18-19 Whole Year)'!F102</f>
        <v>1368.07</v>
      </c>
    </row>
    <row r="51" spans="1:7">
      <c r="A51" s="7" t="str">
        <f t="shared" si="2"/>
        <v>Community Sector (755):</v>
      </c>
      <c r="B51" s="3">
        <f>B36*(E51-1217.96)/E36</f>
        <v>2144.2855244660063</v>
      </c>
      <c r="D51" s="7" t="str">
        <f t="shared" si="1"/>
        <v>Community Sector (755):</v>
      </c>
      <c r="E51" s="3">
        <f>'ANNEX B_ADF (18-19 Whole Year)'!F57</f>
        <v>6301.3999999999987</v>
      </c>
    </row>
    <row r="52" spans="1:7">
      <c r="A52" s="7" t="str">
        <f t="shared" si="2"/>
        <v>Recreation Sector (100):</v>
      </c>
      <c r="B52" s="3">
        <f>B37*E52/E37</f>
        <v>6344.3310957970334</v>
      </c>
      <c r="D52" s="7" t="str">
        <f t="shared" si="1"/>
        <v>Recreation Sector (100):</v>
      </c>
      <c r="E52" s="3">
        <f>'ANNEX B_ADF (18-19 Whole Year)'!F220</f>
        <v>3435.1799999999989</v>
      </c>
    </row>
    <row r="53" spans="1:7">
      <c r="A53" s="7" t="str">
        <f t="shared" si="2"/>
        <v>NAC:</v>
      </c>
      <c r="B53" s="3">
        <v>40</v>
      </c>
      <c r="D53" s="7" t="str">
        <f t="shared" si="1"/>
        <v>NAC:</v>
      </c>
      <c r="E53" s="3">
        <f>'ANNEX B_ADF (18-19 Whole Year)'!F175</f>
        <v>125</v>
      </c>
    </row>
    <row r="54" spans="1:7">
      <c r="A54" s="7" t="str">
        <f t="shared" si="2"/>
        <v>City &amp; Guild College Union:</v>
      </c>
      <c r="B54" s="3">
        <f>B39*E54/E39</f>
        <v>1901.2217875426816</v>
      </c>
      <c r="D54" s="7" t="str">
        <f t="shared" si="1"/>
        <v>City &amp; Guild College Union:</v>
      </c>
      <c r="E54" s="3">
        <f>'ANNEX B_ADF (18-19 Whole Year)'!F75</f>
        <v>995.53999999999974</v>
      </c>
    </row>
    <row r="55" spans="1:7">
      <c r="A55" s="7" t="str">
        <f t="shared" si="2"/>
        <v>Royal College of Science Union:</v>
      </c>
      <c r="B55" s="3">
        <f>B40*E55/E40</f>
        <v>3101.9120720601409</v>
      </c>
      <c r="D55" s="7" t="str">
        <f t="shared" si="1"/>
        <v>Royal College of Science Union:</v>
      </c>
      <c r="E55" s="3">
        <f>'ANNEX B_ADF (18-19 Whole Year)'!F182</f>
        <v>2326.4300000000003</v>
      </c>
    </row>
    <row r="56" spans="1:7">
      <c r="A56" s="7" t="str">
        <f t="shared" si="2"/>
        <v>Royal School of Mines Union:</v>
      </c>
      <c r="B56" s="3">
        <f>B41*E56/E41</f>
        <v>15.375535244830502</v>
      </c>
      <c r="D56" s="7" t="str">
        <f t="shared" si="1"/>
        <v>Royal School of Mines Union:</v>
      </c>
      <c r="E56" s="3">
        <f>'ANNEX B_ADF (18-19 Whole Year)'!F229</f>
        <v>105.13</v>
      </c>
    </row>
    <row r="57" spans="1:7">
      <c r="A57" s="7" t="str">
        <f t="shared" si="2"/>
        <v>Imperial College School of Medicine Students' Union:</v>
      </c>
      <c r="B57" s="3">
        <f>B42*E57/E42</f>
        <v>4708.4843296159443</v>
      </c>
      <c r="D57" s="7" t="str">
        <f t="shared" si="1"/>
        <v>Imperial College School of Medicine Students' Union:</v>
      </c>
      <c r="E57" s="3">
        <f>'ANNEX B_ADF (18-19 Whole Year)'!F146</f>
        <v>8123.2400000000007</v>
      </c>
    </row>
    <row r="58" spans="1:7">
      <c r="A58" s="7" t="str">
        <f t="shared" si="2"/>
        <v>Graduate Students' Union:</v>
      </c>
      <c r="B58" s="3">
        <f>B43*(E58-100)/E43</f>
        <v>2450.434796633941</v>
      </c>
      <c r="D58" s="7" t="str">
        <f t="shared" si="1"/>
        <v>Graduate Students' Union:</v>
      </c>
      <c r="E58" s="3">
        <f>'ANNEX B_ADF (18-19 Whole Year)'!F103</f>
        <v>356.5</v>
      </c>
    </row>
    <row r="59" spans="1:7">
      <c r="A59" s="7" t="str">
        <f t="shared" si="2"/>
        <v>Silwood Park Union:</v>
      </c>
      <c r="B59" s="3">
        <f>E59*$F$31</f>
        <v>0</v>
      </c>
      <c r="D59" s="7" t="str">
        <f>A44</f>
        <v>Silwood Park Union:</v>
      </c>
      <c r="E59" s="3">
        <f>'ANNEX B_ADF (18-19 Whole Year)'!F230</f>
        <v>136.77999999999997</v>
      </c>
    </row>
    <row r="60" spans="1:7">
      <c r="A60" s="21"/>
      <c r="B60" s="22"/>
      <c r="C60" s="21"/>
      <c r="D60" s="21"/>
      <c r="E60" s="21"/>
      <c r="F60" s="21"/>
      <c r="G60" s="21"/>
    </row>
    <row r="61" spans="1:7" ht="112.5" customHeight="1">
      <c r="A61" s="77" t="s">
        <v>340</v>
      </c>
      <c r="B61" s="77"/>
      <c r="C61" s="77"/>
      <c r="D61" s="77"/>
      <c r="E61" s="77"/>
    </row>
    <row r="62" spans="1:7" ht="80.25" customHeight="1">
      <c r="A62" s="78" t="s">
        <v>562</v>
      </c>
      <c r="B62" s="78"/>
      <c r="C62" s="78"/>
      <c r="D62" s="78"/>
      <c r="E62" s="78"/>
    </row>
    <row r="63" spans="1:7" ht="17" thickBot="1">
      <c r="A63" s="26"/>
      <c r="B63" s="25"/>
      <c r="C63" s="23"/>
      <c r="D63" s="23"/>
      <c r="E63" s="23"/>
      <c r="F63" s="23"/>
      <c r="G63" s="23"/>
    </row>
    <row r="66" spans="1:2" ht="19">
      <c r="A66" s="101" t="s">
        <v>573</v>
      </c>
      <c r="B66" s="101"/>
    </row>
  </sheetData>
  <mergeCells count="3">
    <mergeCell ref="A61:E61"/>
    <mergeCell ref="A62:E62"/>
    <mergeCell ref="A66:B6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25334-43DE-49F3-8719-F9BD2B8675D9}">
  <dimension ref="A2:AA51"/>
  <sheetViews>
    <sheetView tabSelected="1" zoomScale="80" zoomScaleNormal="80" workbookViewId="0">
      <selection activeCell="B23" sqref="B23"/>
    </sheetView>
  </sheetViews>
  <sheetFormatPr baseColWidth="10" defaultColWidth="8.83203125" defaultRowHeight="16"/>
  <cols>
    <col min="1" max="1" width="62.5" bestFit="1" customWidth="1"/>
    <col min="2" max="2" width="18.5" bestFit="1" customWidth="1"/>
    <col min="3" max="6" width="11.83203125" bestFit="1" customWidth="1"/>
    <col min="7" max="7" width="9" customWidth="1"/>
    <col min="8" max="8" width="19" bestFit="1" customWidth="1"/>
    <col min="9" max="11" width="10.1640625" customWidth="1"/>
    <col min="13" max="13" width="17.6640625" bestFit="1" customWidth="1"/>
    <col min="14" max="14" width="10.5" bestFit="1" customWidth="1"/>
    <col min="15" max="15" width="10.33203125" customWidth="1"/>
    <col min="16" max="16" width="10.1640625" customWidth="1"/>
    <col min="17" max="17" width="9" customWidth="1"/>
    <col min="18" max="18" width="18.1640625" bestFit="1" customWidth="1"/>
    <col min="19" max="19" width="10.33203125" customWidth="1"/>
    <col min="20" max="20" width="10.1640625" customWidth="1"/>
    <col min="21" max="21" width="10.33203125" customWidth="1"/>
    <col min="23" max="23" width="11.83203125" bestFit="1" customWidth="1"/>
    <col min="24" max="24" width="11.5" customWidth="1"/>
    <col min="25" max="26" width="11.83203125" customWidth="1"/>
    <col min="27" max="27" width="17" bestFit="1" customWidth="1"/>
  </cols>
  <sheetData>
    <row r="2" spans="1:6" ht="19">
      <c r="A2" s="18" t="s">
        <v>354</v>
      </c>
    </row>
    <row r="3" spans="1:6" ht="17">
      <c r="A3" s="19" t="s">
        <v>3</v>
      </c>
    </row>
    <row r="6" spans="1:6">
      <c r="A6" s="2" t="s">
        <v>355</v>
      </c>
    </row>
    <row r="7" spans="1:6">
      <c r="A7" t="s">
        <v>349</v>
      </c>
      <c r="B7" s="3">
        <v>428602</v>
      </c>
    </row>
    <row r="8" spans="1:6">
      <c r="A8" s="29" t="s">
        <v>351</v>
      </c>
      <c r="B8" s="3">
        <v>426143.95</v>
      </c>
      <c r="E8" s="42"/>
      <c r="F8" s="42"/>
    </row>
    <row r="10" spans="1:6">
      <c r="A10" s="83" t="s">
        <v>353</v>
      </c>
      <c r="B10" s="83"/>
    </row>
    <row r="11" spans="1:6" ht="34" customHeight="1">
      <c r="A11" s="85" t="str">
        <f>Summary!A28</f>
        <v>1. Model 1 (scenario A): campus reopens for learning and teaching in October 2020. Social distancing measures still in place. Bars remain closed until January 2021.</v>
      </c>
      <c r="B11" s="85"/>
    </row>
    <row r="12" spans="1:6" ht="20">
      <c r="A12" s="80" t="s">
        <v>574</v>
      </c>
      <c r="B12" s="82">
        <v>0.05</v>
      </c>
    </row>
    <row r="13" spans="1:6" ht="19">
      <c r="A13" t="s">
        <v>571</v>
      </c>
      <c r="B13" s="79">
        <f>$B$8*B12</f>
        <v>21307.197500000002</v>
      </c>
    </row>
    <row r="14" spans="1:6" ht="17">
      <c r="A14" s="81" t="s">
        <v>566</v>
      </c>
      <c r="B14" s="79">
        <f>B8-B13</f>
        <v>404836.7525</v>
      </c>
    </row>
    <row r="15" spans="1:6" ht="17">
      <c r="A15" s="81" t="s">
        <v>567</v>
      </c>
      <c r="B15" s="56">
        <f>Summary!C17+B13</f>
        <v>75927.829450725636</v>
      </c>
    </row>
    <row r="16" spans="1:6" ht="53" customHeight="1">
      <c r="A16" s="86" t="str">
        <f>Summary!A32</f>
        <v>2. Model 2 (scenario B): campus reopens for learning and teaching in January 2021. The Union remains closed until 2021 and services are delivered remotely. Commercial operations resume in January albeit under moderate social distancing measures.</v>
      </c>
      <c r="B16" s="86"/>
    </row>
    <row r="17" spans="1:26" ht="20">
      <c r="A17" s="80" t="s">
        <v>574</v>
      </c>
      <c r="B17" s="82">
        <v>0.1</v>
      </c>
    </row>
    <row r="18" spans="1:26" ht="19">
      <c r="A18" t="s">
        <v>571</v>
      </c>
      <c r="B18" s="79">
        <f>B8*B17</f>
        <v>42614.395000000004</v>
      </c>
    </row>
    <row r="19" spans="1:26" ht="17">
      <c r="A19" s="81" t="s">
        <v>566</v>
      </c>
      <c r="B19" s="79">
        <f>B8-B18</f>
        <v>383529.55499999999</v>
      </c>
    </row>
    <row r="20" spans="1:26" ht="17">
      <c r="A20" s="81" t="s">
        <v>567</v>
      </c>
      <c r="B20" s="57">
        <f>Summary!D17+B18</f>
        <v>107235.02695072563</v>
      </c>
    </row>
    <row r="21" spans="1:26" ht="64" customHeight="1">
      <c r="A21" s="88" t="str">
        <f>Summary!A36</f>
        <v>3. Model 3 (scenario C): campus reopens for learning and teaching in January 2021. The Union remains closed until 2021 and services are delivered remotely. Retail outlets are able to reopen with strict social distancing measures but our bars/catering outlets cannot resume within this financial year.</v>
      </c>
      <c r="B21" s="88"/>
    </row>
    <row r="22" spans="1:26" ht="20">
      <c r="A22" s="80" t="s">
        <v>574</v>
      </c>
      <c r="B22" s="82">
        <v>0.2</v>
      </c>
    </row>
    <row r="23" spans="1:26" ht="19">
      <c r="A23" t="s">
        <v>571</v>
      </c>
      <c r="B23" s="3">
        <f>B8*B22</f>
        <v>85228.790000000008</v>
      </c>
    </row>
    <row r="24" spans="1:26" ht="17">
      <c r="A24" s="81" t="s">
        <v>566</v>
      </c>
      <c r="B24" s="3">
        <f>B8-B23</f>
        <v>340915.16000000003</v>
      </c>
    </row>
    <row r="25" spans="1:26" ht="17">
      <c r="A25" s="81" t="s">
        <v>567</v>
      </c>
      <c r="B25" s="58">
        <f>Summary!E17+B23</f>
        <v>149849.42195072563</v>
      </c>
    </row>
    <row r="28" spans="1:26">
      <c r="A28" t="s">
        <v>531</v>
      </c>
      <c r="B28" t="s">
        <v>542</v>
      </c>
      <c r="C28" t="s">
        <v>532</v>
      </c>
      <c r="D28" t="s">
        <v>533</v>
      </c>
      <c r="E28" t="s">
        <v>534</v>
      </c>
      <c r="H28" s="38"/>
      <c r="I28" s="38" t="s">
        <v>543</v>
      </c>
      <c r="J28" s="39" t="s">
        <v>544</v>
      </c>
      <c r="K28" s="67" t="s">
        <v>532</v>
      </c>
      <c r="L28" s="38"/>
      <c r="M28" s="38"/>
      <c r="N28" s="40" t="s">
        <v>543</v>
      </c>
      <c r="O28" s="41" t="s">
        <v>544</v>
      </c>
      <c r="P28" s="67" t="s">
        <v>532</v>
      </c>
      <c r="Q28" s="38"/>
      <c r="R28" s="38"/>
      <c r="S28" s="40" t="s">
        <v>543</v>
      </c>
      <c r="T28" s="41" t="s">
        <v>544</v>
      </c>
      <c r="U28" s="67" t="s">
        <v>532</v>
      </c>
      <c r="V28" s="38"/>
      <c r="W28" s="38"/>
      <c r="X28" s="40" t="s">
        <v>543</v>
      </c>
      <c r="Y28" s="41" t="s">
        <v>544</v>
      </c>
      <c r="Z28" s="67" t="s">
        <v>532</v>
      </c>
    </row>
    <row r="29" spans="1:26">
      <c r="A29" s="2" t="s">
        <v>535</v>
      </c>
      <c r="B29" s="3"/>
      <c r="C29" s="3"/>
      <c r="D29" s="3"/>
      <c r="E29" s="3"/>
      <c r="H29" s="37" t="s">
        <v>545</v>
      </c>
      <c r="I29" s="43">
        <v>21958.885971999996</v>
      </c>
      <c r="J29" s="44">
        <v>21765.949999999997</v>
      </c>
      <c r="K29" s="68">
        <f>IF($K$28="Model 1",I29*(1-$B$12),IF($K$28="Model 2",I29*(1-$B$17),IF($K$28="Model 3",I29*(1-$B$22))))</f>
        <v>20860.941673399997</v>
      </c>
      <c r="L29" s="1"/>
      <c r="M29" s="45" t="s">
        <v>546</v>
      </c>
      <c r="N29" s="46">
        <v>46542.635875600005</v>
      </c>
      <c r="O29" s="47">
        <v>43843.06</v>
      </c>
      <c r="P29" s="68">
        <f>IF($P$28="Model 1",N29*(1-$B$12),IF($P$28="Model 2",N29*(1-$B$17),IF($P$28="Model 3",N29*(1-$B$22))))</f>
        <v>44215.50408182</v>
      </c>
      <c r="Q29" s="1"/>
      <c r="R29" s="45" t="s">
        <v>547</v>
      </c>
      <c r="S29" s="46">
        <v>1722.4949999999999</v>
      </c>
      <c r="T29" s="47">
        <v>2902.65</v>
      </c>
      <c r="U29" s="68">
        <f>IF($U$28="Model 1",S29*(1-$B$12),IF($U$28="Model 2",S29*(1-$B$17),IF($U$28="Model 3",S29*(1-$B$22))))</f>
        <v>1636.3702499999997</v>
      </c>
      <c r="V29" s="1"/>
      <c r="W29" s="45" t="s">
        <v>548</v>
      </c>
      <c r="X29" s="46">
        <v>4583.8627159999996</v>
      </c>
      <c r="Y29" s="47">
        <v>2708.5699999999997</v>
      </c>
      <c r="Z29" s="89">
        <f>IF($Z$28="Model 1",X29*(1-$B$12),IF($Z$28="Model 2",X29*(1-$B$17),IF($Z$28="Model 3",X29*(1-$B$22))))</f>
        <v>4354.6695801999995</v>
      </c>
    </row>
    <row r="30" spans="1:26">
      <c r="A30" s="65" t="s">
        <v>326</v>
      </c>
      <c r="B30" s="3">
        <f>SUMIFS(Table_query__44[Grant Received],Table_query__44[Column1],"AED")+SUMIFS(Table_query__44[Grant Received],Table_query__44[Column1],"AEE")+SUMIFS(Table_query__44[Grant Received],Table_query__44[Column1],"AEF")+SUMIFS(Table_query__44[Grant Received],Table_query__44[Column1],"AEME")+SUMIFS(Table_query__44[Grant Received],Table_query__44[Column1],"AEMU")</f>
        <v>46542.635875600005</v>
      </c>
      <c r="C30" s="3">
        <f>Table2[[#This Row],[Current allocation]]*0.95</f>
        <v>44215.50408182</v>
      </c>
      <c r="D30" s="3">
        <f>Table2[[#This Row],[Current allocation]]*0.9</f>
        <v>41888.372288040002</v>
      </c>
      <c r="E30" s="3">
        <f>Table2[[#This Row],[Current allocation]]*0.8</f>
        <v>37234.108700480007</v>
      </c>
      <c r="H30" s="48" t="s">
        <v>549</v>
      </c>
      <c r="I30" s="49">
        <v>3187</v>
      </c>
      <c r="J30" s="50">
        <v>3287.01</v>
      </c>
      <c r="K30" s="69">
        <f t="shared" ref="K30:K40" si="0">IF($K$28="Model 1",I30*(1-$B$12),IF($K$28="Model 2",I30*(1-$B$17),IF($K$28="Model 3",I30*(1-$B$22))))</f>
        <v>3027.6499999999996</v>
      </c>
      <c r="L30" s="1"/>
      <c r="M30" s="51" t="s">
        <v>499</v>
      </c>
      <c r="N30" s="52">
        <v>17427.8288956</v>
      </c>
      <c r="O30" s="50">
        <v>15646.890000000001</v>
      </c>
      <c r="P30" s="72">
        <f t="shared" ref="P30:P34" si="1">IF($P$28="Model 1",N30*(1-$B$12),IF($P$28="Model 2",N30*(1-$B$17),IF($P$28="Model 3",N30*(1-$B$22))))</f>
        <v>16556.437450819998</v>
      </c>
      <c r="Q30" s="1"/>
      <c r="R30" s="51" t="s">
        <v>482</v>
      </c>
      <c r="S30" s="52">
        <v>154.32499999999999</v>
      </c>
      <c r="T30" s="50">
        <v>581.4</v>
      </c>
      <c r="U30" s="72">
        <f t="shared" ref="U30:U34" si="2">IF($U$28="Model 1",S30*(1-$B$12),IF($U$28="Model 2",S30*(1-$B$17),IF($U$28="Model 3",S30*(1-$B$22))))</f>
        <v>146.60874999999999</v>
      </c>
      <c r="V30" s="1"/>
      <c r="W30" s="51" t="s">
        <v>456</v>
      </c>
      <c r="X30" s="52">
        <v>2753.8617159999999</v>
      </c>
      <c r="Y30" s="50">
        <v>1285.77</v>
      </c>
      <c r="Z30" s="73">
        <f t="shared" ref="Z30:Z32" si="3">IF($Z$28="Model 1",X30*(1-$B$12),IF($Z$28="Model 2",X30*(1-$B$17),IF($Z$28="Model 3",X30*(1-$B$22))))</f>
        <v>2616.1686301999998</v>
      </c>
    </row>
    <row r="31" spans="1:26">
      <c r="A31" s="65" t="s">
        <v>327</v>
      </c>
      <c r="B31" s="3">
        <f>SUMIFS(Table_query__44[Grant Received],Table_query__44[Column1],"SPC")+SUMIFS(Table_query__44[Grant Received],Table_query__44[Column1],"SPF")+SUMIFS(Table_query__44[Grant Received],Table_query__44[Column1],"SPI")+SUMIFS(Table_query__44[Grant Received],Table_query__44[Column1],"SPM")</f>
        <v>191275.89500434996</v>
      </c>
      <c r="C31" s="3">
        <f>Table2[[#This Row],[Current allocation]]*0.95</f>
        <v>181712.10025413247</v>
      </c>
      <c r="D31" s="3">
        <f>Table2[[#This Row],[Current allocation]]*0.9</f>
        <v>172148.30550391498</v>
      </c>
      <c r="E31" s="3">
        <f>Table2[[#This Row],[Current allocation]]*0.8</f>
        <v>153020.71600347999</v>
      </c>
      <c r="H31" s="53" t="s">
        <v>537</v>
      </c>
      <c r="I31" s="43">
        <v>71043.832125642992</v>
      </c>
      <c r="J31" s="44">
        <v>67996.549999999988</v>
      </c>
      <c r="K31" s="70">
        <f t="shared" si="0"/>
        <v>67491.640519360837</v>
      </c>
      <c r="L31" s="1"/>
      <c r="M31" s="51" t="s">
        <v>498</v>
      </c>
      <c r="N31" s="52">
        <v>7328.2238800000005</v>
      </c>
      <c r="O31" s="50">
        <v>7112.84</v>
      </c>
      <c r="P31" s="69">
        <f t="shared" si="1"/>
        <v>6961.8126860000002</v>
      </c>
      <c r="Q31" s="1"/>
      <c r="R31" s="51" t="s">
        <v>474</v>
      </c>
      <c r="S31" s="52">
        <v>1482.31</v>
      </c>
      <c r="T31" s="50">
        <v>1829.3500000000001</v>
      </c>
      <c r="U31" s="69">
        <f t="shared" si="2"/>
        <v>1408.1944999999998</v>
      </c>
      <c r="V31" s="1"/>
      <c r="W31" s="51" t="s">
        <v>451</v>
      </c>
      <c r="X31" s="52">
        <v>99.8</v>
      </c>
      <c r="Y31" s="50">
        <v>30</v>
      </c>
      <c r="Z31" s="74">
        <f t="shared" si="3"/>
        <v>94.809999999999988</v>
      </c>
    </row>
    <row r="32" spans="1:26">
      <c r="A32" s="35" t="s">
        <v>328</v>
      </c>
      <c r="B32" s="3">
        <f>SUMIFS(Table_query__44[Grant Received],Table_query__44[Column1],"KNC")+SUMIFS(Table_query__44[Grant Received],Table_query__44[Column1],"KND")+SUMIFS(Table_query__44[Grant Received],Table_query__44[Column1],"KNE")</f>
        <v>4267.9795000000004</v>
      </c>
      <c r="C32" s="3">
        <f>Table2[[#This Row],[Current allocation]]*0.95</f>
        <v>4054.5805250000003</v>
      </c>
      <c r="D32" s="3">
        <f>Table2[[#This Row],[Current allocation]]*0.9</f>
        <v>3841.1815500000002</v>
      </c>
      <c r="E32" s="3">
        <f>Table2[[#This Row],[Current allocation]]*0.8</f>
        <v>3414.3836000000006</v>
      </c>
      <c r="H32" s="48" t="s">
        <v>549</v>
      </c>
      <c r="I32" s="49">
        <v>5302</v>
      </c>
      <c r="J32" s="50">
        <v>2450</v>
      </c>
      <c r="K32" s="69">
        <f t="shared" si="0"/>
        <v>5036.8999999999996</v>
      </c>
      <c r="L32" s="1"/>
      <c r="M32" s="51" t="s">
        <v>496</v>
      </c>
      <c r="N32" s="52">
        <v>2891.0940000000001</v>
      </c>
      <c r="O32" s="50">
        <v>2267.5500000000002</v>
      </c>
      <c r="P32" s="69">
        <f t="shared" si="1"/>
        <v>2746.5392999999999</v>
      </c>
      <c r="Q32" s="1"/>
      <c r="R32" s="51" t="s">
        <v>469</v>
      </c>
      <c r="S32" s="52">
        <v>85.86</v>
      </c>
      <c r="T32" s="50">
        <v>491.9</v>
      </c>
      <c r="U32" s="69">
        <f t="shared" si="2"/>
        <v>81.566999999999993</v>
      </c>
      <c r="V32" s="1"/>
      <c r="W32" s="51" t="s">
        <v>441</v>
      </c>
      <c r="X32" s="52">
        <v>1730.201</v>
      </c>
      <c r="Y32" s="50">
        <v>1392.8</v>
      </c>
      <c r="Z32" s="75">
        <f t="shared" si="3"/>
        <v>1643.6909499999999</v>
      </c>
    </row>
    <row r="33" spans="1:27">
      <c r="A33" s="35" t="s">
        <v>329</v>
      </c>
      <c r="B33" s="3">
        <f>SUMIFS(Table_query__44[Grant Received],Table_query__44[Column1],"CTA")+SUMIFS(Table_query__44[Grant Received],Table_query__44[Column1],"CTM")+SUMIFS(Table_query__44[Grant Received],Table_query__44[Column1],"CTN")</f>
        <v>4583.8627159999996</v>
      </c>
      <c r="C33" s="3">
        <f>Table2[[#This Row],[Current allocation]]*0.95</f>
        <v>4354.6695801999995</v>
      </c>
      <c r="D33" s="3">
        <f>Table2[[#This Row],[Current allocation]]*0.9</f>
        <v>4125.4764444000002</v>
      </c>
      <c r="E33" s="3">
        <f>Table2[[#This Row],[Current allocation]]*0.8</f>
        <v>3667.0901727999999</v>
      </c>
      <c r="H33" s="53" t="s">
        <v>372</v>
      </c>
      <c r="I33" s="43">
        <v>3553.19</v>
      </c>
      <c r="J33" s="44">
        <v>4847.2000000000007</v>
      </c>
      <c r="K33" s="70">
        <f t="shared" si="0"/>
        <v>3375.5304999999998</v>
      </c>
      <c r="L33" s="1"/>
      <c r="M33" s="51" t="s">
        <v>495</v>
      </c>
      <c r="N33" s="52">
        <v>2237.8094000000001</v>
      </c>
      <c r="O33" s="50">
        <v>2345.46</v>
      </c>
      <c r="P33" s="69">
        <f t="shared" si="1"/>
        <v>2125.9189299999998</v>
      </c>
      <c r="Q33" s="1"/>
      <c r="R33" s="51" t="s">
        <v>465</v>
      </c>
      <c r="S33" s="52">
        <v>0</v>
      </c>
      <c r="T33" s="50">
        <v>0</v>
      </c>
      <c r="U33" s="69">
        <f t="shared" si="2"/>
        <v>0</v>
      </c>
      <c r="V33" s="1"/>
      <c r="W33" s="1"/>
      <c r="X33" s="1"/>
      <c r="Y33" s="54"/>
    </row>
    <row r="34" spans="1:27">
      <c r="A34" s="35" t="s">
        <v>330</v>
      </c>
      <c r="B34" s="3">
        <f>SUMIFS(Table_query__44[Grant Received],Table_query__44[Column1],"CFC")+SUMIFS(Table_query__44[Grant Received],Table_query__44[Column1],"CFF")+SUMIFS(Table_query__44[Grant Received],Table_query__44[Column1],"CFI")+SUMIFS(Table_query__44[Grant Received],Table_query__44[Column1],"CFR")+SUMIFS(Table_query__44[Grant Received],Table_query__44[Column1],"CF")</f>
        <v>1722.4949999999999</v>
      </c>
      <c r="C34" s="3">
        <f>Table2[[#This Row],[Current allocation]]*0.95</f>
        <v>1636.3702499999997</v>
      </c>
      <c r="D34" s="3">
        <f>Table2[[#This Row],[Current allocation]]*0.9</f>
        <v>1550.2455</v>
      </c>
      <c r="E34" s="3">
        <f>Table2[[#This Row],[Current allocation]]*0.8</f>
        <v>1377.9960000000001</v>
      </c>
      <c r="H34" s="48" t="s">
        <v>549</v>
      </c>
      <c r="I34" s="49">
        <v>1320</v>
      </c>
      <c r="J34" s="50">
        <v>1886.79</v>
      </c>
      <c r="K34" s="69">
        <f t="shared" si="0"/>
        <v>1254</v>
      </c>
      <c r="L34" s="1"/>
      <c r="M34" s="51" t="s">
        <v>494</v>
      </c>
      <c r="N34" s="52">
        <v>16657.679700000001</v>
      </c>
      <c r="O34" s="50">
        <v>16470.32</v>
      </c>
      <c r="P34" s="71">
        <f t="shared" si="1"/>
        <v>15824.795715</v>
      </c>
      <c r="Q34" s="1"/>
      <c r="R34" s="51" t="s">
        <v>492</v>
      </c>
      <c r="S34" s="52">
        <v>0</v>
      </c>
      <c r="T34" s="50">
        <v>0</v>
      </c>
      <c r="U34" s="71">
        <f t="shared" si="2"/>
        <v>0</v>
      </c>
      <c r="V34" s="1"/>
      <c r="W34" s="1"/>
      <c r="X34" s="1"/>
      <c r="Y34" s="54"/>
    </row>
    <row r="35" spans="1:27">
      <c r="A35" s="65" t="s">
        <v>331</v>
      </c>
      <c r="B35" s="3">
        <f>SUMIFS(Table_query__44[Grant Received],Table_query__44[Column1],"REA")+SUMIFS(Table_query__44[Grant Received],Table_query__44[Column1],"RCC")+SUMIFS(Table_query__44[Grant Received],Table_query__44[Column1],"REE")+SUMIFS(Table_query__44[Grant Received],Table_query__44[Column1],"REG")+SUMIFS(Table_query__44[Grant Received],Table_query__44[Column1],"REV")</f>
        <v>65138.972381600004</v>
      </c>
      <c r="C35" s="3">
        <f>Table2[[#This Row],[Current allocation]]*0.95</f>
        <v>61882.023762520002</v>
      </c>
      <c r="D35" s="3">
        <f>Table2[[#This Row],[Current allocation]]*0.9</f>
        <v>58625.075143440008</v>
      </c>
      <c r="E35" s="3">
        <f>Table2[[#This Row],[Current allocation]]*0.8</f>
        <v>52111.177905280005</v>
      </c>
      <c r="H35" s="53" t="s">
        <v>550</v>
      </c>
      <c r="I35" s="43">
        <v>7938.1345000000001</v>
      </c>
      <c r="J35" s="44">
        <v>7306.49</v>
      </c>
      <c r="K35" s="70">
        <f t="shared" si="0"/>
        <v>7541.2277749999994</v>
      </c>
      <c r="L35" s="1"/>
      <c r="M35" s="1"/>
      <c r="N35" s="1"/>
      <c r="O35" s="54"/>
      <c r="P35" s="54"/>
      <c r="Q35" s="1"/>
      <c r="R35" s="1"/>
      <c r="S35" s="1"/>
      <c r="T35" s="54"/>
      <c r="U35" s="54"/>
      <c r="V35" s="1"/>
      <c r="W35" s="1"/>
      <c r="X35" s="1"/>
      <c r="Y35" s="54"/>
    </row>
    <row r="36" spans="1:27">
      <c r="A36" s="35" t="s">
        <v>19</v>
      </c>
      <c r="B36" s="3">
        <f>SUMIFS(Table_query__44[Grant Received],Table_query__44[Column1],"NAI")</f>
        <v>0</v>
      </c>
      <c r="C36" s="3">
        <f>Table2[[#This Row],[Current allocation]]*0.95</f>
        <v>0</v>
      </c>
      <c r="D36" s="3">
        <f>Table2[[#This Row],[Current allocation]]*0.9</f>
        <v>0</v>
      </c>
      <c r="E36" s="3">
        <f>Table2[[#This Row],[Current allocation]]*0.8</f>
        <v>0</v>
      </c>
      <c r="H36" s="48" t="s">
        <v>549</v>
      </c>
      <c r="I36" s="49">
        <v>2000</v>
      </c>
      <c r="J36" s="50">
        <v>2023.9</v>
      </c>
      <c r="K36" s="69">
        <f t="shared" si="0"/>
        <v>1900</v>
      </c>
      <c r="L36" s="1"/>
      <c r="M36" s="1"/>
      <c r="N36" s="40" t="s">
        <v>543</v>
      </c>
      <c r="O36" s="41" t="s">
        <v>544</v>
      </c>
      <c r="P36" s="67" t="s">
        <v>532</v>
      </c>
      <c r="Q36" s="1"/>
      <c r="R36" s="1"/>
      <c r="S36" s="40" t="s">
        <v>543</v>
      </c>
      <c r="T36" s="41" t="s">
        <v>544</v>
      </c>
      <c r="U36" s="67" t="s">
        <v>532</v>
      </c>
      <c r="V36" s="1"/>
      <c r="W36" s="1"/>
      <c r="X36" s="40" t="s">
        <v>543</v>
      </c>
      <c r="Y36" s="41" t="s">
        <v>544</v>
      </c>
      <c r="Z36" s="67" t="s">
        <v>532</v>
      </c>
    </row>
    <row r="37" spans="1:27">
      <c r="A37" s="35" t="s">
        <v>332</v>
      </c>
      <c r="B37" s="3">
        <f>SUMIFS(Table_query__44[Grant Received],Table_query__44[Column1],"CGCU")</f>
        <v>21958.885971999996</v>
      </c>
      <c r="C37" s="3">
        <f>Table2[[#This Row],[Current allocation]]*0.95</f>
        <v>20860.941673399997</v>
      </c>
      <c r="D37" s="3">
        <f>Table2[[#This Row],[Current allocation]]*0.9</f>
        <v>19762.997374799997</v>
      </c>
      <c r="E37" s="3">
        <f>Table2[[#This Row],[Current allocation]]*0.8</f>
        <v>17567.108777599999</v>
      </c>
      <c r="H37" s="53" t="s">
        <v>551</v>
      </c>
      <c r="I37" s="43">
        <v>4440</v>
      </c>
      <c r="J37" s="44">
        <v>3702.16</v>
      </c>
      <c r="K37" s="70">
        <f t="shared" si="0"/>
        <v>4218</v>
      </c>
      <c r="L37" s="1"/>
      <c r="M37" s="45" t="s">
        <v>552</v>
      </c>
      <c r="N37" s="46">
        <v>4267.9795000000004</v>
      </c>
      <c r="O37" s="47">
        <v>3402.9100000000003</v>
      </c>
      <c r="P37" s="68">
        <f>IF($P$36="Model 1",N37*(1-$B$12),IF($P$36="Model 2",N37*(1-$B$17),IF($P$36="Model 3",N37*(1-$B$22))))</f>
        <v>4054.5805250000003</v>
      </c>
      <c r="Q37" s="1"/>
      <c r="R37" s="45" t="s">
        <v>553</v>
      </c>
      <c r="S37" s="46">
        <v>65138.972381600004</v>
      </c>
      <c r="T37" s="47">
        <v>68659.64</v>
      </c>
      <c r="U37" s="70">
        <f>IF($U$36="Model 1",S37*(1-$B$12),IF($U$36="Model 2",S37*(1-$B$17),IF($U$36="Model 3",S37*(1-$B$22))))</f>
        <v>61882.023762520002</v>
      </c>
      <c r="V37" s="1"/>
      <c r="W37" s="45" t="s">
        <v>554</v>
      </c>
      <c r="X37" s="46">
        <v>191275.89500434996</v>
      </c>
      <c r="Y37" s="47">
        <v>184701.84</v>
      </c>
      <c r="Z37" s="70">
        <f>IF($Z$36="Model 1",X37*(1-$B$12),IF($Z$36="Model 2",X37*(1-$B$17),IF($Z$36="Model 3",X37*(1-$B$22))))</f>
        <v>181712.10025413247</v>
      </c>
    </row>
    <row r="38" spans="1:27">
      <c r="A38" s="35" t="s">
        <v>333</v>
      </c>
      <c r="B38" s="3">
        <f>SUMIFS(Table_query__44[Grant Received],Table_query__44[Column1],"RCSU")</f>
        <v>3553.19</v>
      </c>
      <c r="C38" s="3">
        <f>Table2[[#This Row],[Current allocation]]*0.95</f>
        <v>3375.5304999999998</v>
      </c>
      <c r="D38" s="3">
        <f>Table2[[#This Row],[Current allocation]]*0.9</f>
        <v>3197.8710000000001</v>
      </c>
      <c r="E38" s="3">
        <f>Table2[[#This Row],[Current allocation]]*0.8</f>
        <v>2842.5520000000001</v>
      </c>
      <c r="H38" s="48" t="s">
        <v>549</v>
      </c>
      <c r="I38" s="49">
        <v>4440</v>
      </c>
      <c r="J38" s="50">
        <v>3702.16</v>
      </c>
      <c r="K38" s="69">
        <f t="shared" si="0"/>
        <v>4218</v>
      </c>
      <c r="L38" s="1"/>
      <c r="M38" s="51" t="s">
        <v>425</v>
      </c>
      <c r="N38" s="52">
        <v>0</v>
      </c>
      <c r="O38" s="50">
        <v>0</v>
      </c>
      <c r="P38" s="72">
        <f t="shared" ref="P38:P40" si="4">IF($P$36="Model 1",N38*(1-$B$12),IF($P$36="Model 2",N38*(1-$B$17),IF($P$36="Model 3",N38*(1-$B$22))))</f>
        <v>0</v>
      </c>
      <c r="Q38" s="1"/>
      <c r="R38" s="51" t="s">
        <v>390</v>
      </c>
      <c r="S38" s="52">
        <v>2916.5670399999999</v>
      </c>
      <c r="T38" s="50">
        <v>3050.2799999999997</v>
      </c>
      <c r="U38" s="72">
        <f t="shared" ref="U38:U41" si="5">IF($U$36="Model 1",S38*(1-$B$12),IF($U$36="Model 2",S38*(1-$B$17),IF($U$36="Model 3",S38*(1-$B$22))))</f>
        <v>2770.7386879999999</v>
      </c>
      <c r="V38" s="1"/>
      <c r="W38" s="51" t="s">
        <v>378</v>
      </c>
      <c r="X38" s="52">
        <v>53001.539390099992</v>
      </c>
      <c r="Y38" s="50">
        <v>51973.42</v>
      </c>
      <c r="Z38" s="73">
        <f t="shared" ref="Z38:Z41" si="6">IF($Z$36="Model 1",X38*(1-$B$12),IF($Z$36="Model 2",X38*(1-$B$17),IF($Z$36="Model 3",X38*(1-$B$22))))</f>
        <v>50351.462420594988</v>
      </c>
    </row>
    <row r="39" spans="1:27">
      <c r="A39" s="35" t="s">
        <v>334</v>
      </c>
      <c r="B39" s="3">
        <f>SUMIFS(Table_query__44[Grant Received],Table_query__44[Column1],"RSM")</f>
        <v>7938.1345000000001</v>
      </c>
      <c r="C39" s="3">
        <f>Table2[[#This Row],[Current allocation]]*0.95</f>
        <v>7541.2277749999994</v>
      </c>
      <c r="D39" s="3">
        <f>Table2[[#This Row],[Current allocation]]*0.9</f>
        <v>7144.3210500000005</v>
      </c>
      <c r="E39" s="3">
        <f>Table2[[#This Row],[Current allocation]]*0.8</f>
        <v>6350.5076000000008</v>
      </c>
      <c r="H39" s="53" t="s">
        <v>555</v>
      </c>
      <c r="I39" s="43">
        <v>3300</v>
      </c>
      <c r="J39" s="44">
        <v>3500</v>
      </c>
      <c r="K39" s="70">
        <f t="shared" si="0"/>
        <v>3135</v>
      </c>
      <c r="L39" s="1"/>
      <c r="M39" s="51" t="s">
        <v>422</v>
      </c>
      <c r="N39" s="52">
        <v>3590.2795000000001</v>
      </c>
      <c r="O39" s="50">
        <v>3122.63</v>
      </c>
      <c r="P39" s="69">
        <f t="shared" si="4"/>
        <v>3410.7655249999998</v>
      </c>
      <c r="Q39" s="1"/>
      <c r="R39" s="51" t="s">
        <v>388</v>
      </c>
      <c r="S39" s="55">
        <v>47774.195341600003</v>
      </c>
      <c r="T39" s="50">
        <v>50355.43</v>
      </c>
      <c r="U39" s="69">
        <f t="shared" si="5"/>
        <v>45385.485574520004</v>
      </c>
      <c r="V39" s="1"/>
      <c r="W39" s="51" t="s">
        <v>377</v>
      </c>
      <c r="X39" s="52">
        <v>45879.490487199997</v>
      </c>
      <c r="Y39" s="50">
        <v>42011.51</v>
      </c>
      <c r="Z39" s="74">
        <f t="shared" si="6"/>
        <v>43585.515962839992</v>
      </c>
    </row>
    <row r="40" spans="1:27">
      <c r="A40" s="65" t="s">
        <v>335</v>
      </c>
      <c r="B40" s="3">
        <f>SUMIFS(Table_query__44[Grant Received],Table_query__44[Column1],"ICSMSU")</f>
        <v>71043.832125642992</v>
      </c>
      <c r="C40" s="3">
        <f>Table2[[#This Row],[Current allocation]]*0.95</f>
        <v>67491.640519360837</v>
      </c>
      <c r="D40" s="3">
        <f>Table2[[#This Row],[Current allocation]]*0.9</f>
        <v>63939.448913078697</v>
      </c>
      <c r="E40" s="3">
        <f>Table2[[#This Row],[Current allocation]]*0.8</f>
        <v>56835.065700514395</v>
      </c>
      <c r="H40" s="48" t="s">
        <v>549</v>
      </c>
      <c r="I40" s="49">
        <v>3300</v>
      </c>
      <c r="J40" s="50">
        <v>3500</v>
      </c>
      <c r="K40" s="71">
        <f t="shared" si="0"/>
        <v>3135</v>
      </c>
      <c r="L40" s="1"/>
      <c r="M40" s="51" t="s">
        <v>419</v>
      </c>
      <c r="N40" s="52">
        <v>677.7</v>
      </c>
      <c r="O40" s="50">
        <v>280.28000000000003</v>
      </c>
      <c r="P40" s="71">
        <f t="shared" si="4"/>
        <v>643.81500000000005</v>
      </c>
      <c r="Q40" s="1"/>
      <c r="R40" s="51" t="s">
        <v>385</v>
      </c>
      <c r="S40" s="55">
        <v>4694.04</v>
      </c>
      <c r="T40" s="50">
        <v>5749.76</v>
      </c>
      <c r="U40" s="69">
        <f t="shared" si="5"/>
        <v>4459.3379999999997</v>
      </c>
      <c r="V40" s="1"/>
      <c r="W40" s="51" t="s">
        <v>375</v>
      </c>
      <c r="X40" s="52">
        <v>77314.898782249991</v>
      </c>
      <c r="Y40" s="50">
        <v>75118.049999999988</v>
      </c>
      <c r="Z40" s="74">
        <f t="shared" si="6"/>
        <v>73449.153843137494</v>
      </c>
    </row>
    <row r="41" spans="1:27">
      <c r="A41" s="35" t="s">
        <v>336</v>
      </c>
      <c r="B41" s="3">
        <f>SUMIFS(Table_query__44[Grant Received],Table_query__44[Column1],"GSU")</f>
        <v>3300</v>
      </c>
      <c r="C41" s="3">
        <f>Table2[[#This Row],[Current allocation]]*0.95</f>
        <v>3135</v>
      </c>
      <c r="D41" s="3">
        <f>Table2[[#This Row],[Current allocation]]*0.9</f>
        <v>2970</v>
      </c>
      <c r="E41" s="3">
        <f>Table2[[#This Row],[Current allocation]]*0.8</f>
        <v>2640</v>
      </c>
      <c r="H41" s="1"/>
      <c r="I41" s="1"/>
      <c r="J41" s="1"/>
      <c r="K41" s="1"/>
      <c r="L41" s="1"/>
      <c r="M41" s="1"/>
      <c r="N41" s="1"/>
      <c r="O41" s="1"/>
      <c r="P41" s="1"/>
      <c r="Q41" s="1"/>
      <c r="R41" s="51" t="s">
        <v>556</v>
      </c>
      <c r="S41" s="55">
        <v>9754.17</v>
      </c>
      <c r="T41" s="50">
        <v>9504.17</v>
      </c>
      <c r="U41" s="71">
        <f t="shared" si="5"/>
        <v>9266.4614999999994</v>
      </c>
      <c r="V41" s="1"/>
      <c r="W41" s="51" t="s">
        <v>373</v>
      </c>
      <c r="X41" s="52">
        <v>15079.966344800001</v>
      </c>
      <c r="Y41" s="50">
        <v>15598.860000000002</v>
      </c>
      <c r="Z41" s="75">
        <f t="shared" si="6"/>
        <v>14325.96802756</v>
      </c>
    </row>
    <row r="42" spans="1:27">
      <c r="A42" s="35" t="s">
        <v>337</v>
      </c>
      <c r="B42" s="3">
        <f>SUMIFS(Table_query__44[Grant Received],Table_query__44[Column1],"Silwood")</f>
        <v>4440</v>
      </c>
      <c r="C42" s="3">
        <f>Table2[[#This Row],[Current allocation]]*0.95</f>
        <v>4218</v>
      </c>
      <c r="D42" s="3">
        <f>Table2[[#This Row],[Current allocation]]*0.9</f>
        <v>3996</v>
      </c>
      <c r="E42" s="3">
        <f>Table2[[#This Row],[Current allocation]]*0.8</f>
        <v>3552</v>
      </c>
    </row>
    <row r="44" spans="1:27" ht="79.5" customHeight="1">
      <c r="A44" s="78" t="s">
        <v>558</v>
      </c>
      <c r="B44" s="78"/>
      <c r="C44" s="78"/>
      <c r="D44" s="78"/>
      <c r="E44" s="78"/>
    </row>
    <row r="46" spans="1:27">
      <c r="B46" s="3"/>
    </row>
    <row r="47" spans="1:27">
      <c r="Z47" s="51"/>
      <c r="AA47" s="52"/>
    </row>
    <row r="48" spans="1:27">
      <c r="Z48" s="51"/>
      <c r="AA48" s="52"/>
    </row>
    <row r="49" spans="26:27">
      <c r="Z49" s="51"/>
      <c r="AA49" s="52"/>
    </row>
    <row r="50" spans="26:27">
      <c r="Z50" s="51"/>
      <c r="AA50" s="52"/>
    </row>
    <row r="51" spans="26:27">
      <c r="Z51" s="51"/>
      <c r="AA51" s="52"/>
    </row>
  </sheetData>
  <mergeCells count="5">
    <mergeCell ref="A44:E44"/>
    <mergeCell ref="A10:B10"/>
    <mergeCell ref="A11:B11"/>
    <mergeCell ref="A16:B16"/>
    <mergeCell ref="A21:B21"/>
  </mergeCells>
  <conditionalFormatting sqref="B30">
    <cfRule type="cellIs" dxfId="14" priority="12" operator="equal">
      <formula>$N$29</formula>
    </cfRule>
  </conditionalFormatting>
  <conditionalFormatting sqref="B31">
    <cfRule type="cellIs" dxfId="13" priority="11" operator="equal">
      <formula>$X$37</formula>
    </cfRule>
  </conditionalFormatting>
  <conditionalFormatting sqref="B32">
    <cfRule type="cellIs" dxfId="12" priority="10" operator="equal">
      <formula>$N$37</formula>
    </cfRule>
  </conditionalFormatting>
  <conditionalFormatting sqref="B33">
    <cfRule type="cellIs" dxfId="11" priority="9" operator="equal">
      <formula>$X$29</formula>
    </cfRule>
  </conditionalFormatting>
  <conditionalFormatting sqref="B34">
    <cfRule type="cellIs" dxfId="10" priority="8" operator="equal">
      <formula>$S$29</formula>
    </cfRule>
  </conditionalFormatting>
  <conditionalFormatting sqref="B35">
    <cfRule type="cellIs" dxfId="9" priority="7" operator="equal">
      <formula>$S$37</formula>
    </cfRule>
  </conditionalFormatting>
  <conditionalFormatting sqref="B37">
    <cfRule type="cellIs" dxfId="8" priority="6" operator="equal">
      <formula>$I$29</formula>
    </cfRule>
  </conditionalFormatting>
  <conditionalFormatting sqref="B38">
    <cfRule type="cellIs" dxfId="7" priority="5" operator="equal">
      <formula>$I$33</formula>
    </cfRule>
  </conditionalFormatting>
  <conditionalFormatting sqref="B39">
    <cfRule type="cellIs" dxfId="6" priority="4" operator="equal">
      <formula>$I$35</formula>
    </cfRule>
  </conditionalFormatting>
  <conditionalFormatting sqref="B40">
    <cfRule type="cellIs" dxfId="5" priority="3" operator="equal">
      <formula>$I$31</formula>
    </cfRule>
  </conditionalFormatting>
  <conditionalFormatting sqref="B41">
    <cfRule type="cellIs" dxfId="4" priority="2" operator="equal">
      <formula>$I$39</formula>
    </cfRule>
  </conditionalFormatting>
  <conditionalFormatting sqref="B42">
    <cfRule type="cellIs" dxfId="3" priority="1" operator="equal">
      <formula>$I$37</formula>
    </cfRule>
  </conditionalFormatting>
  <dataValidations count="1">
    <dataValidation type="list" allowBlank="1" showInputMessage="1" showErrorMessage="1" sqref="Z36 P28 P36 U28 U36 Z28 K28" xr:uid="{99866796-2790-4E6B-A5D5-898461087E0C}">
      <formula1>$C$28:$E$28</formula1>
    </dataValidation>
  </dataValidations>
  <pageMargins left="0.7" right="0.7" top="0.75" bottom="0.75" header="0.3" footer="0.3"/>
  <pageSetup paperSize="9"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B73CC-A789-43A1-99E5-5E3743429F56}">
  <dimension ref="A1:H287"/>
  <sheetViews>
    <sheetView workbookViewId="0">
      <selection activeCell="H23" sqref="H23"/>
    </sheetView>
  </sheetViews>
  <sheetFormatPr baseColWidth="10" defaultColWidth="9" defaultRowHeight="15"/>
  <cols>
    <col min="1" max="1" width="4.6640625" style="9" bestFit="1" customWidth="1"/>
    <col min="2" max="2" width="40.6640625" style="9" bestFit="1" customWidth="1"/>
    <col min="3" max="5" width="10.83203125" style="10" customWidth="1"/>
    <col min="6" max="6" width="10.83203125" style="9" customWidth="1"/>
    <col min="7" max="7" width="9.6640625" style="9" bestFit="1" customWidth="1"/>
    <col min="8" max="16384" width="9" style="9"/>
  </cols>
  <sheetData>
    <row r="1" spans="1:6">
      <c r="A1" s="12" t="s">
        <v>310</v>
      </c>
      <c r="B1" s="12" t="s">
        <v>309</v>
      </c>
      <c r="C1" s="11" t="s">
        <v>308</v>
      </c>
      <c r="D1" s="11" t="s">
        <v>307</v>
      </c>
      <c r="E1" s="11" t="s">
        <v>306</v>
      </c>
      <c r="F1" s="11" t="s">
        <v>305</v>
      </c>
    </row>
    <row r="2" spans="1:6">
      <c r="A2" s="9">
        <v>156</v>
      </c>
      <c r="B2" s="9" t="s">
        <v>304</v>
      </c>
      <c r="C2" s="10">
        <v>0</v>
      </c>
      <c r="D2" s="10">
        <v>99</v>
      </c>
      <c r="E2" s="10">
        <v>99</v>
      </c>
      <c r="F2" s="10">
        <f t="shared" ref="F2:F65" si="0">IF(C2+D2&lt;0, C2+D2, 0)</f>
        <v>0</v>
      </c>
    </row>
    <row r="3" spans="1:6">
      <c r="A3" s="9">
        <v>725</v>
      </c>
      <c r="B3" s="9" t="s">
        <v>303</v>
      </c>
      <c r="C3" s="10">
        <v>941.07</v>
      </c>
      <c r="D3" s="10">
        <v>-889.11</v>
      </c>
      <c r="E3" s="10">
        <v>51.960000000000036</v>
      </c>
      <c r="F3" s="10">
        <f t="shared" si="0"/>
        <v>0</v>
      </c>
    </row>
    <row r="4" spans="1:6">
      <c r="A4" s="9">
        <v>56</v>
      </c>
      <c r="B4" s="9" t="s">
        <v>302</v>
      </c>
      <c r="C4" s="10">
        <v>9911.6299999999992</v>
      </c>
      <c r="D4" s="10">
        <v>-24091.87</v>
      </c>
      <c r="E4" s="10">
        <v>0</v>
      </c>
      <c r="F4" s="10">
        <f t="shared" si="0"/>
        <v>-14180.24</v>
      </c>
    </row>
    <row r="5" spans="1:6">
      <c r="A5" s="9">
        <v>318</v>
      </c>
      <c r="B5" s="9" t="s">
        <v>301</v>
      </c>
      <c r="C5" s="10">
        <v>2909.83</v>
      </c>
      <c r="D5" s="10">
        <v>-2908.37</v>
      </c>
      <c r="E5" s="10">
        <v>1.4600000000000364</v>
      </c>
      <c r="F5" s="10">
        <f t="shared" si="0"/>
        <v>0</v>
      </c>
    </row>
    <row r="6" spans="1:6">
      <c r="A6" s="9">
        <v>1098</v>
      </c>
      <c r="B6" s="9" t="s">
        <v>300</v>
      </c>
      <c r="C6" s="10">
        <v>0</v>
      </c>
      <c r="D6" s="10">
        <v>67</v>
      </c>
      <c r="E6" s="10">
        <v>67</v>
      </c>
      <c r="F6" s="10">
        <f t="shared" si="0"/>
        <v>0</v>
      </c>
    </row>
    <row r="7" spans="1:6">
      <c r="A7" s="9">
        <v>297</v>
      </c>
      <c r="B7" s="9" t="s">
        <v>299</v>
      </c>
      <c r="C7" s="10">
        <v>1832.93</v>
      </c>
      <c r="D7" s="10">
        <v>-1345.99</v>
      </c>
      <c r="E7" s="10">
        <v>486.94000000000005</v>
      </c>
      <c r="F7" s="10">
        <f t="shared" si="0"/>
        <v>0</v>
      </c>
    </row>
    <row r="8" spans="1:6">
      <c r="A8" s="9">
        <v>1021</v>
      </c>
      <c r="B8" s="9" t="s">
        <v>298</v>
      </c>
      <c r="C8" s="10">
        <v>0</v>
      </c>
      <c r="D8" s="10">
        <v>20</v>
      </c>
      <c r="E8" s="10">
        <v>20</v>
      </c>
      <c r="F8" s="10">
        <f t="shared" si="0"/>
        <v>0</v>
      </c>
    </row>
    <row r="9" spans="1:6">
      <c r="A9" s="9">
        <v>167</v>
      </c>
      <c r="B9" s="9" t="s">
        <v>297</v>
      </c>
      <c r="C9" s="10">
        <v>1804.64</v>
      </c>
      <c r="D9" s="10">
        <v>75</v>
      </c>
      <c r="E9" s="10">
        <v>1879.64</v>
      </c>
      <c r="F9" s="10">
        <f t="shared" si="0"/>
        <v>0</v>
      </c>
    </row>
    <row r="10" spans="1:6">
      <c r="A10" s="9">
        <v>170</v>
      </c>
      <c r="B10" s="9" t="s">
        <v>296</v>
      </c>
      <c r="C10" s="10">
        <v>50.2</v>
      </c>
      <c r="D10" s="10">
        <v>0</v>
      </c>
      <c r="E10" s="10">
        <v>50.2</v>
      </c>
      <c r="F10" s="10">
        <f t="shared" si="0"/>
        <v>0</v>
      </c>
    </row>
    <row r="11" spans="1:6">
      <c r="A11" s="9">
        <v>172</v>
      </c>
      <c r="B11" s="9" t="s">
        <v>295</v>
      </c>
      <c r="C11" s="10">
        <v>603</v>
      </c>
      <c r="D11" s="10">
        <v>80</v>
      </c>
      <c r="E11" s="10">
        <v>683</v>
      </c>
      <c r="F11" s="10">
        <f t="shared" si="0"/>
        <v>0</v>
      </c>
    </row>
    <row r="12" spans="1:6">
      <c r="A12" s="9">
        <v>174</v>
      </c>
      <c r="B12" s="9" t="s">
        <v>294</v>
      </c>
      <c r="C12" s="10">
        <v>2094.16</v>
      </c>
      <c r="D12" s="10">
        <v>-1065.8</v>
      </c>
      <c r="E12" s="10">
        <v>1028.3599999999999</v>
      </c>
      <c r="F12" s="10">
        <f t="shared" si="0"/>
        <v>0</v>
      </c>
    </row>
    <row r="13" spans="1:6">
      <c r="A13" s="9">
        <v>176</v>
      </c>
      <c r="B13" s="9" t="s">
        <v>293</v>
      </c>
      <c r="C13" s="10">
        <v>1853.58</v>
      </c>
      <c r="D13" s="10">
        <v>-1438.27</v>
      </c>
      <c r="E13" s="10">
        <v>415.30999999999995</v>
      </c>
      <c r="F13" s="10">
        <f t="shared" si="0"/>
        <v>0</v>
      </c>
    </row>
    <row r="14" spans="1:6">
      <c r="A14" s="9">
        <v>166</v>
      </c>
      <c r="B14" s="9" t="s">
        <v>292</v>
      </c>
      <c r="C14" s="10">
        <v>872.5</v>
      </c>
      <c r="D14" s="10">
        <v>-872.5</v>
      </c>
      <c r="E14" s="10">
        <v>0</v>
      </c>
      <c r="F14" s="10">
        <f t="shared" si="0"/>
        <v>0</v>
      </c>
    </row>
    <row r="15" spans="1:6">
      <c r="A15" s="9">
        <v>1093</v>
      </c>
      <c r="B15" s="9" t="s">
        <v>291</v>
      </c>
      <c r="C15" s="10">
        <v>128.43</v>
      </c>
      <c r="D15" s="10">
        <v>92.18</v>
      </c>
      <c r="E15" s="10">
        <v>220.61</v>
      </c>
      <c r="F15" s="10">
        <f t="shared" si="0"/>
        <v>0</v>
      </c>
    </row>
    <row r="16" spans="1:6">
      <c r="A16" s="9">
        <v>666</v>
      </c>
      <c r="B16" s="9" t="s">
        <v>290</v>
      </c>
      <c r="C16" s="10">
        <v>0</v>
      </c>
      <c r="D16" s="10">
        <v>30</v>
      </c>
      <c r="E16" s="10">
        <v>30</v>
      </c>
      <c r="F16" s="10">
        <f t="shared" si="0"/>
        <v>0</v>
      </c>
    </row>
    <row r="17" spans="1:7">
      <c r="A17" s="9">
        <v>66</v>
      </c>
      <c r="B17" s="9" t="s">
        <v>289</v>
      </c>
      <c r="C17" s="10">
        <v>811.25</v>
      </c>
      <c r="D17" s="10">
        <v>-898.53</v>
      </c>
      <c r="E17" s="10">
        <v>0</v>
      </c>
      <c r="F17" s="10">
        <f t="shared" si="0"/>
        <v>-87.279999999999973</v>
      </c>
    </row>
    <row r="18" spans="1:7">
      <c r="A18" s="9">
        <v>175</v>
      </c>
      <c r="B18" s="9" t="s">
        <v>288</v>
      </c>
      <c r="C18" s="10">
        <v>100</v>
      </c>
      <c r="D18" s="10">
        <v>-88.53</v>
      </c>
      <c r="E18" s="10">
        <v>11.469999999999999</v>
      </c>
      <c r="F18" s="10">
        <f t="shared" si="0"/>
        <v>0</v>
      </c>
    </row>
    <row r="19" spans="1:7">
      <c r="A19" s="9">
        <v>157</v>
      </c>
      <c r="B19" s="9" t="s">
        <v>287</v>
      </c>
      <c r="C19" s="10">
        <v>1088.73</v>
      </c>
      <c r="D19" s="10">
        <v>-622.98</v>
      </c>
      <c r="E19" s="10">
        <v>465.75</v>
      </c>
      <c r="F19" s="10">
        <f t="shared" si="0"/>
        <v>0</v>
      </c>
    </row>
    <row r="20" spans="1:7">
      <c r="A20" s="9">
        <v>159</v>
      </c>
      <c r="B20" s="9" t="s">
        <v>286</v>
      </c>
      <c r="C20" s="10">
        <v>659.8</v>
      </c>
      <c r="D20" s="10">
        <v>-494.1</v>
      </c>
      <c r="E20" s="10">
        <v>165.69999999999993</v>
      </c>
      <c r="F20" s="10">
        <f t="shared" si="0"/>
        <v>0</v>
      </c>
    </row>
    <row r="21" spans="1:7">
      <c r="A21" s="9">
        <v>158</v>
      </c>
      <c r="B21" s="9" t="s">
        <v>285</v>
      </c>
      <c r="C21" s="10">
        <v>166.19</v>
      </c>
      <c r="D21" s="10">
        <v>-38.450000000000003</v>
      </c>
      <c r="E21" s="10">
        <v>127.74</v>
      </c>
      <c r="F21" s="10">
        <f t="shared" si="0"/>
        <v>0</v>
      </c>
    </row>
    <row r="22" spans="1:7">
      <c r="A22" s="9">
        <v>876</v>
      </c>
      <c r="B22" s="9" t="s">
        <v>284</v>
      </c>
      <c r="C22" s="10">
        <v>1347.5</v>
      </c>
      <c r="D22" s="10">
        <v>0</v>
      </c>
      <c r="E22" s="10">
        <v>1347.5</v>
      </c>
      <c r="F22" s="10">
        <f t="shared" si="0"/>
        <v>0</v>
      </c>
    </row>
    <row r="23" spans="1:7">
      <c r="A23" s="9">
        <v>918</v>
      </c>
      <c r="B23" s="9" t="s">
        <v>283</v>
      </c>
      <c r="C23" s="10">
        <v>1047.5</v>
      </c>
      <c r="D23" s="10">
        <v>-807.02</v>
      </c>
      <c r="E23" s="10">
        <v>240.48000000000002</v>
      </c>
      <c r="F23" s="10">
        <f t="shared" si="0"/>
        <v>0</v>
      </c>
    </row>
    <row r="24" spans="1:7">
      <c r="A24" s="9">
        <v>173</v>
      </c>
      <c r="B24" s="9" t="s">
        <v>282</v>
      </c>
      <c r="C24" s="10">
        <v>174.46</v>
      </c>
      <c r="D24" s="10">
        <v>-7</v>
      </c>
      <c r="E24" s="10">
        <v>167.46</v>
      </c>
      <c r="F24" s="10">
        <f t="shared" si="0"/>
        <v>0</v>
      </c>
    </row>
    <row r="25" spans="1:7">
      <c r="A25" s="9">
        <v>164</v>
      </c>
      <c r="B25" s="9" t="s">
        <v>281</v>
      </c>
      <c r="C25" s="10">
        <v>2158.21</v>
      </c>
      <c r="D25" s="10">
        <v>-594.62</v>
      </c>
      <c r="E25" s="10">
        <v>1563.5900000000001</v>
      </c>
      <c r="F25" s="10">
        <f t="shared" si="0"/>
        <v>0</v>
      </c>
    </row>
    <row r="26" spans="1:7">
      <c r="A26" s="9">
        <v>719</v>
      </c>
      <c r="B26" s="9" t="s">
        <v>280</v>
      </c>
      <c r="C26" s="10">
        <v>427.59</v>
      </c>
      <c r="D26" s="10">
        <v>0</v>
      </c>
      <c r="E26" s="10">
        <v>427.59</v>
      </c>
      <c r="F26" s="10">
        <f t="shared" si="0"/>
        <v>0</v>
      </c>
    </row>
    <row r="27" spans="1:7">
      <c r="A27" s="9">
        <v>169</v>
      </c>
      <c r="B27" s="9" t="s">
        <v>279</v>
      </c>
      <c r="C27" s="10">
        <v>1073.19</v>
      </c>
      <c r="D27" s="10">
        <v>30</v>
      </c>
      <c r="E27" s="10">
        <v>1103.19</v>
      </c>
      <c r="F27" s="10">
        <f t="shared" si="0"/>
        <v>0</v>
      </c>
    </row>
    <row r="28" spans="1:7">
      <c r="A28" s="9">
        <v>162</v>
      </c>
      <c r="B28" s="9" t="s">
        <v>278</v>
      </c>
      <c r="C28" s="10">
        <v>1680.25</v>
      </c>
      <c r="D28" s="10">
        <v>-1680.25</v>
      </c>
      <c r="E28" s="10">
        <v>0</v>
      </c>
      <c r="F28" s="10">
        <f t="shared" si="0"/>
        <v>0</v>
      </c>
    </row>
    <row r="29" spans="1:7">
      <c r="A29" s="9">
        <v>163</v>
      </c>
      <c r="B29" s="9" t="s">
        <v>277</v>
      </c>
      <c r="C29" s="10">
        <v>2182.13</v>
      </c>
      <c r="D29" s="10">
        <v>-1354</v>
      </c>
      <c r="E29" s="10">
        <v>828.13000000000011</v>
      </c>
      <c r="F29" s="10">
        <f t="shared" si="0"/>
        <v>0</v>
      </c>
    </row>
    <row r="30" spans="1:7">
      <c r="A30" s="9">
        <v>178</v>
      </c>
      <c r="B30" s="9" t="s">
        <v>276</v>
      </c>
      <c r="C30" s="10">
        <v>1431.38</v>
      </c>
      <c r="D30" s="10">
        <v>-956.45</v>
      </c>
      <c r="E30" s="10">
        <v>474.93000000000006</v>
      </c>
      <c r="F30" s="10">
        <f t="shared" si="0"/>
        <v>0</v>
      </c>
    </row>
    <row r="31" spans="1:7">
      <c r="A31" s="9">
        <v>749</v>
      </c>
      <c r="B31" s="9" t="s">
        <v>275</v>
      </c>
      <c r="C31" s="10">
        <v>628.5</v>
      </c>
      <c r="D31" s="10">
        <v>-193.84</v>
      </c>
      <c r="E31" s="10">
        <v>434.65999999999997</v>
      </c>
      <c r="F31" s="10">
        <f t="shared" si="0"/>
        <v>0</v>
      </c>
    </row>
    <row r="32" spans="1:7">
      <c r="A32" s="9">
        <v>161</v>
      </c>
      <c r="B32" s="9" t="s">
        <v>274</v>
      </c>
      <c r="C32" s="10">
        <v>171.05</v>
      </c>
      <c r="D32" s="10">
        <v>0</v>
      </c>
      <c r="E32" s="10">
        <v>171.05</v>
      </c>
      <c r="F32" s="10">
        <f t="shared" si="0"/>
        <v>0</v>
      </c>
      <c r="G32" s="10">
        <f>SUM(E2:E32)</f>
        <v>12562.719999999998</v>
      </c>
    </row>
    <row r="33" spans="1:6">
      <c r="A33" s="9">
        <v>773</v>
      </c>
      <c r="B33" s="9" t="s">
        <v>273</v>
      </c>
      <c r="C33" s="10">
        <v>0</v>
      </c>
      <c r="D33" s="10">
        <v>3</v>
      </c>
      <c r="E33" s="10">
        <v>3</v>
      </c>
      <c r="F33" s="10">
        <f t="shared" si="0"/>
        <v>0</v>
      </c>
    </row>
    <row r="34" spans="1:6">
      <c r="A34" s="9">
        <v>316</v>
      </c>
      <c r="B34" s="9" t="s">
        <v>272</v>
      </c>
      <c r="C34" s="10">
        <v>222.75</v>
      </c>
      <c r="D34" s="10">
        <v>0</v>
      </c>
      <c r="E34" s="10">
        <v>222.75</v>
      </c>
      <c r="F34" s="10">
        <f t="shared" si="0"/>
        <v>0</v>
      </c>
    </row>
    <row r="35" spans="1:6">
      <c r="A35" s="9">
        <v>739</v>
      </c>
      <c r="B35" s="9" t="s">
        <v>271</v>
      </c>
      <c r="C35" s="10">
        <v>0</v>
      </c>
      <c r="D35" s="10">
        <v>3</v>
      </c>
      <c r="E35" s="10">
        <v>3</v>
      </c>
      <c r="F35" s="10">
        <f t="shared" si="0"/>
        <v>0</v>
      </c>
    </row>
    <row r="36" spans="1:6">
      <c r="A36" s="9">
        <v>642</v>
      </c>
      <c r="B36" s="9" t="s">
        <v>270</v>
      </c>
      <c r="C36" s="10">
        <v>0</v>
      </c>
      <c r="D36" s="10">
        <v>15</v>
      </c>
      <c r="E36" s="10">
        <v>15</v>
      </c>
      <c r="F36" s="10">
        <f t="shared" si="0"/>
        <v>0</v>
      </c>
    </row>
    <row r="37" spans="1:6">
      <c r="A37" s="9">
        <v>102</v>
      </c>
      <c r="B37" s="9" t="s">
        <v>269</v>
      </c>
      <c r="C37" s="10">
        <v>23.11</v>
      </c>
      <c r="D37" s="10">
        <v>0</v>
      </c>
      <c r="E37" s="10">
        <v>23.11</v>
      </c>
      <c r="F37" s="10">
        <f t="shared" si="0"/>
        <v>0</v>
      </c>
    </row>
    <row r="38" spans="1:6">
      <c r="A38" s="9">
        <v>106</v>
      </c>
      <c r="B38" s="9" t="s">
        <v>268</v>
      </c>
      <c r="C38" s="10">
        <v>282.5</v>
      </c>
      <c r="D38" s="10">
        <v>229.31</v>
      </c>
      <c r="E38" s="10">
        <v>511.81</v>
      </c>
      <c r="F38" s="10">
        <f t="shared" si="0"/>
        <v>0</v>
      </c>
    </row>
    <row r="39" spans="1:6">
      <c r="A39" s="9">
        <v>1104</v>
      </c>
      <c r="B39" s="9" t="s">
        <v>267</v>
      </c>
      <c r="C39" s="10">
        <v>875</v>
      </c>
      <c r="D39" s="10">
        <v>10</v>
      </c>
      <c r="E39" s="10">
        <v>885</v>
      </c>
      <c r="F39" s="10">
        <f t="shared" si="0"/>
        <v>0</v>
      </c>
    </row>
    <row r="40" spans="1:6">
      <c r="A40" s="9">
        <v>881</v>
      </c>
      <c r="B40" s="9" t="s">
        <v>266</v>
      </c>
      <c r="C40" s="10">
        <v>1200</v>
      </c>
      <c r="D40" s="10">
        <v>0</v>
      </c>
      <c r="E40" s="10">
        <v>1200</v>
      </c>
      <c r="F40" s="10">
        <f t="shared" si="0"/>
        <v>0</v>
      </c>
    </row>
    <row r="41" spans="1:6">
      <c r="A41" s="9">
        <v>354</v>
      </c>
      <c r="B41" s="9" t="s">
        <v>265</v>
      </c>
      <c r="C41" s="10">
        <v>95</v>
      </c>
      <c r="D41" s="10">
        <v>0</v>
      </c>
      <c r="E41" s="10">
        <v>95</v>
      </c>
      <c r="F41" s="10">
        <f t="shared" si="0"/>
        <v>0</v>
      </c>
    </row>
    <row r="42" spans="1:6">
      <c r="A42" s="9">
        <v>577</v>
      </c>
      <c r="B42" s="9" t="s">
        <v>264</v>
      </c>
      <c r="C42" s="10">
        <v>0</v>
      </c>
      <c r="D42" s="10">
        <v>30</v>
      </c>
      <c r="E42" s="10">
        <v>30</v>
      </c>
      <c r="F42" s="10">
        <f t="shared" si="0"/>
        <v>0</v>
      </c>
    </row>
    <row r="43" spans="1:6">
      <c r="A43" s="9">
        <v>581</v>
      </c>
      <c r="B43" s="9" t="s">
        <v>263</v>
      </c>
      <c r="C43" s="10">
        <v>0</v>
      </c>
      <c r="D43" s="10">
        <v>15</v>
      </c>
      <c r="E43" s="10">
        <v>15</v>
      </c>
      <c r="F43" s="10">
        <f t="shared" si="0"/>
        <v>0</v>
      </c>
    </row>
    <row r="44" spans="1:6">
      <c r="A44" s="9">
        <v>94</v>
      </c>
      <c r="B44" s="9" t="s">
        <v>262</v>
      </c>
      <c r="C44" s="10">
        <v>47.85</v>
      </c>
      <c r="D44" s="10">
        <v>30</v>
      </c>
      <c r="E44" s="10">
        <v>77.849999999999994</v>
      </c>
      <c r="F44" s="10">
        <f t="shared" si="0"/>
        <v>0</v>
      </c>
    </row>
    <row r="45" spans="1:6">
      <c r="A45" s="9">
        <v>95</v>
      </c>
      <c r="B45" s="9" t="s">
        <v>261</v>
      </c>
      <c r="C45" s="10">
        <v>358.57</v>
      </c>
      <c r="D45" s="10">
        <v>-75</v>
      </c>
      <c r="E45" s="10">
        <v>283.57</v>
      </c>
      <c r="F45" s="10">
        <f t="shared" si="0"/>
        <v>0</v>
      </c>
    </row>
    <row r="46" spans="1:6">
      <c r="A46" s="9">
        <v>104</v>
      </c>
      <c r="B46" s="9" t="s">
        <v>260</v>
      </c>
      <c r="C46" s="10">
        <v>659.5</v>
      </c>
      <c r="D46" s="10">
        <v>50</v>
      </c>
      <c r="E46" s="10">
        <v>709.5</v>
      </c>
      <c r="F46" s="10">
        <f t="shared" si="0"/>
        <v>0</v>
      </c>
    </row>
    <row r="47" spans="1:6">
      <c r="A47" s="9">
        <v>748</v>
      </c>
      <c r="B47" s="9" t="s">
        <v>259</v>
      </c>
      <c r="C47" s="10">
        <v>0</v>
      </c>
      <c r="D47" s="10">
        <v>15</v>
      </c>
      <c r="E47" s="10">
        <v>15</v>
      </c>
      <c r="F47" s="10">
        <f t="shared" si="0"/>
        <v>0</v>
      </c>
    </row>
    <row r="48" spans="1:6">
      <c r="A48" s="9">
        <v>771</v>
      </c>
      <c r="B48" s="9" t="s">
        <v>258</v>
      </c>
      <c r="C48" s="10">
        <v>59.49</v>
      </c>
      <c r="D48" s="10">
        <v>0</v>
      </c>
      <c r="E48" s="10">
        <v>59.49</v>
      </c>
      <c r="F48" s="10">
        <f t="shared" si="0"/>
        <v>0</v>
      </c>
    </row>
    <row r="49" spans="1:7">
      <c r="A49" s="9">
        <v>109</v>
      </c>
      <c r="B49" s="9" t="s">
        <v>257</v>
      </c>
      <c r="C49" s="10">
        <v>402.5</v>
      </c>
      <c r="D49" s="10">
        <v>75</v>
      </c>
      <c r="E49" s="10">
        <v>477.5</v>
      </c>
      <c r="F49" s="10">
        <f t="shared" si="0"/>
        <v>0</v>
      </c>
    </row>
    <row r="50" spans="1:7">
      <c r="A50" s="9">
        <v>793</v>
      </c>
      <c r="B50" s="9" t="s">
        <v>256</v>
      </c>
      <c r="C50" s="10">
        <v>447.3</v>
      </c>
      <c r="D50" s="10">
        <v>39</v>
      </c>
      <c r="E50" s="10">
        <v>486.3</v>
      </c>
      <c r="F50" s="10">
        <f t="shared" si="0"/>
        <v>0</v>
      </c>
    </row>
    <row r="51" spans="1:7">
      <c r="A51" s="9">
        <v>784</v>
      </c>
      <c r="B51" s="9" t="s">
        <v>255</v>
      </c>
      <c r="C51" s="10">
        <v>183.53</v>
      </c>
      <c r="D51" s="10">
        <v>0</v>
      </c>
      <c r="E51" s="10">
        <v>183.53</v>
      </c>
      <c r="F51" s="10">
        <f t="shared" si="0"/>
        <v>0</v>
      </c>
    </row>
    <row r="52" spans="1:7">
      <c r="A52" s="9">
        <v>1016</v>
      </c>
      <c r="B52" s="9" t="s">
        <v>254</v>
      </c>
      <c r="C52" s="10">
        <v>0</v>
      </c>
      <c r="D52" s="10">
        <v>74.209999999999994</v>
      </c>
      <c r="E52" s="10">
        <v>74.209999999999994</v>
      </c>
      <c r="F52" s="10">
        <f t="shared" si="0"/>
        <v>0</v>
      </c>
    </row>
    <row r="53" spans="1:7">
      <c r="A53" s="9">
        <v>871</v>
      </c>
      <c r="B53" s="9" t="s">
        <v>253</v>
      </c>
      <c r="C53" s="10">
        <v>19.940000000000001</v>
      </c>
      <c r="D53" s="10">
        <v>0</v>
      </c>
      <c r="E53" s="10">
        <v>19.940000000000001</v>
      </c>
      <c r="F53" s="10">
        <f t="shared" si="0"/>
        <v>0</v>
      </c>
    </row>
    <row r="54" spans="1:7">
      <c r="A54" s="9">
        <v>779</v>
      </c>
      <c r="B54" s="9" t="s">
        <v>252</v>
      </c>
      <c r="C54" s="10">
        <v>145.75</v>
      </c>
      <c r="D54" s="10">
        <v>0</v>
      </c>
      <c r="E54" s="10">
        <v>145.75</v>
      </c>
      <c r="F54" s="10">
        <f t="shared" si="0"/>
        <v>0</v>
      </c>
    </row>
    <row r="55" spans="1:7">
      <c r="A55" s="9">
        <v>925</v>
      </c>
      <c r="B55" s="9" t="s">
        <v>251</v>
      </c>
      <c r="C55" s="10">
        <v>1688.5</v>
      </c>
      <c r="D55" s="10">
        <v>-521.98</v>
      </c>
      <c r="E55" s="10">
        <v>1166.52</v>
      </c>
      <c r="F55" s="10">
        <f t="shared" si="0"/>
        <v>0</v>
      </c>
    </row>
    <row r="56" spans="1:7">
      <c r="A56" s="9">
        <v>903</v>
      </c>
      <c r="B56" s="9" t="s">
        <v>250</v>
      </c>
      <c r="C56" s="10">
        <v>70.12</v>
      </c>
      <c r="D56" s="10">
        <v>0</v>
      </c>
      <c r="E56" s="10">
        <v>70.12</v>
      </c>
      <c r="F56" s="10">
        <f t="shared" si="0"/>
        <v>0</v>
      </c>
    </row>
    <row r="57" spans="1:7">
      <c r="A57" s="9">
        <v>1079</v>
      </c>
      <c r="B57" s="9" t="s">
        <v>249</v>
      </c>
      <c r="C57" s="10">
        <v>0</v>
      </c>
      <c r="D57" s="10">
        <v>60</v>
      </c>
      <c r="E57" s="10">
        <v>60</v>
      </c>
      <c r="F57" s="10">
        <f t="shared" si="0"/>
        <v>0</v>
      </c>
      <c r="G57" s="10">
        <f>SUM(E33:E57)</f>
        <v>6832.95</v>
      </c>
    </row>
    <row r="58" spans="1:7">
      <c r="A58" s="9">
        <v>229</v>
      </c>
      <c r="B58" s="9" t="s">
        <v>248</v>
      </c>
      <c r="C58" s="10">
        <v>550.25</v>
      </c>
      <c r="D58" s="10">
        <v>-446.09</v>
      </c>
      <c r="E58" s="10">
        <v>104.16000000000003</v>
      </c>
      <c r="F58" s="10">
        <f t="shared" si="0"/>
        <v>0</v>
      </c>
    </row>
    <row r="59" spans="1:7">
      <c r="A59" s="9">
        <v>236</v>
      </c>
      <c r="B59" s="9" t="s">
        <v>247</v>
      </c>
      <c r="C59" s="10">
        <v>685</v>
      </c>
      <c r="D59" s="10">
        <v>0</v>
      </c>
      <c r="E59" s="10">
        <v>685</v>
      </c>
      <c r="F59" s="10">
        <f t="shared" si="0"/>
        <v>0</v>
      </c>
    </row>
    <row r="60" spans="1:7">
      <c r="A60" s="9">
        <v>230</v>
      </c>
      <c r="B60" s="9" t="s">
        <v>246</v>
      </c>
      <c r="C60" s="10">
        <v>1122.8800000000001</v>
      </c>
      <c r="D60" s="10">
        <v>0</v>
      </c>
      <c r="E60" s="10">
        <v>1122.8800000000001</v>
      </c>
      <c r="F60" s="10">
        <f t="shared" si="0"/>
        <v>0</v>
      </c>
    </row>
    <row r="61" spans="1:7">
      <c r="A61" s="9">
        <v>232</v>
      </c>
      <c r="B61" s="9" t="s">
        <v>245</v>
      </c>
      <c r="C61" s="10">
        <v>209.28</v>
      </c>
      <c r="D61" s="10">
        <v>0.01</v>
      </c>
      <c r="E61" s="10">
        <v>209.29</v>
      </c>
      <c r="F61" s="10">
        <f t="shared" si="0"/>
        <v>0</v>
      </c>
    </row>
    <row r="62" spans="1:7">
      <c r="A62" s="9">
        <v>1097</v>
      </c>
      <c r="B62" s="9" t="s">
        <v>244</v>
      </c>
      <c r="C62" s="10">
        <v>0</v>
      </c>
      <c r="D62" s="10">
        <v>31</v>
      </c>
      <c r="E62" s="10">
        <v>31</v>
      </c>
      <c r="F62" s="10">
        <f t="shared" si="0"/>
        <v>0</v>
      </c>
    </row>
    <row r="63" spans="1:7">
      <c r="A63" s="9">
        <v>1094</v>
      </c>
      <c r="B63" s="9" t="s">
        <v>243</v>
      </c>
      <c r="C63" s="10">
        <v>588.13</v>
      </c>
      <c r="D63" s="10">
        <v>-584.73</v>
      </c>
      <c r="E63" s="10">
        <v>3.3999999999999773</v>
      </c>
      <c r="F63" s="10">
        <f t="shared" si="0"/>
        <v>0</v>
      </c>
    </row>
    <row r="64" spans="1:7">
      <c r="A64" s="9">
        <v>233</v>
      </c>
      <c r="B64" s="9" t="s">
        <v>242</v>
      </c>
      <c r="C64" s="10">
        <v>0</v>
      </c>
      <c r="D64" s="10">
        <v>168.33</v>
      </c>
      <c r="E64" s="10">
        <v>168.33</v>
      </c>
      <c r="F64" s="10">
        <f t="shared" si="0"/>
        <v>0</v>
      </c>
    </row>
    <row r="65" spans="1:7">
      <c r="A65" s="9">
        <v>1138</v>
      </c>
      <c r="B65" s="9" t="s">
        <v>241</v>
      </c>
      <c r="C65" s="10">
        <v>1148.07</v>
      </c>
      <c r="D65" s="10">
        <v>-108</v>
      </c>
      <c r="E65" s="10">
        <v>1040.07</v>
      </c>
      <c r="F65" s="10">
        <f t="shared" si="0"/>
        <v>0</v>
      </c>
    </row>
    <row r="66" spans="1:7">
      <c r="A66" s="9">
        <v>231</v>
      </c>
      <c r="B66" s="9" t="s">
        <v>240</v>
      </c>
      <c r="C66" s="10">
        <v>0</v>
      </c>
      <c r="D66" s="10">
        <v>63</v>
      </c>
      <c r="E66" s="10">
        <v>63</v>
      </c>
      <c r="F66" s="10">
        <f t="shared" ref="F66:F129" si="1">IF(C66+D66&lt;0, C66+D66, 0)</f>
        <v>0</v>
      </c>
    </row>
    <row r="67" spans="1:7">
      <c r="A67" s="9">
        <v>101</v>
      </c>
      <c r="B67" s="9" t="s">
        <v>239</v>
      </c>
      <c r="C67" s="10">
        <v>77.89</v>
      </c>
      <c r="D67" s="10">
        <v>-13.03</v>
      </c>
      <c r="E67" s="10">
        <v>64.86</v>
      </c>
      <c r="F67" s="10">
        <f t="shared" si="1"/>
        <v>0</v>
      </c>
    </row>
    <row r="68" spans="1:7">
      <c r="A68" s="9">
        <v>228</v>
      </c>
      <c r="B68" s="9" t="s">
        <v>238</v>
      </c>
      <c r="C68" s="10">
        <v>2522.5</v>
      </c>
      <c r="D68" s="10">
        <v>-2017.91</v>
      </c>
      <c r="E68" s="10">
        <v>504.58999999999992</v>
      </c>
      <c r="F68" s="10">
        <f t="shared" si="1"/>
        <v>0</v>
      </c>
    </row>
    <row r="69" spans="1:7">
      <c r="A69" s="9">
        <v>234</v>
      </c>
      <c r="B69" s="9" t="s">
        <v>237</v>
      </c>
      <c r="C69" s="10">
        <v>2424</v>
      </c>
      <c r="D69" s="10">
        <v>-2121.88</v>
      </c>
      <c r="E69" s="10">
        <v>302.11999999999989</v>
      </c>
      <c r="F69" s="10">
        <f t="shared" si="1"/>
        <v>0</v>
      </c>
    </row>
    <row r="70" spans="1:7">
      <c r="A70" s="9">
        <v>239</v>
      </c>
      <c r="B70" s="9" t="s">
        <v>236</v>
      </c>
      <c r="C70" s="10">
        <v>8262.19</v>
      </c>
      <c r="D70" s="10">
        <v>-6838.01</v>
      </c>
      <c r="E70" s="10">
        <v>1424.1800000000003</v>
      </c>
      <c r="F70" s="10">
        <f t="shared" si="1"/>
        <v>0</v>
      </c>
    </row>
    <row r="71" spans="1:7">
      <c r="A71" s="9">
        <v>240</v>
      </c>
      <c r="B71" s="9" t="s">
        <v>235</v>
      </c>
      <c r="C71" s="10">
        <v>0</v>
      </c>
      <c r="D71" s="10">
        <v>15</v>
      </c>
      <c r="E71" s="10">
        <v>15</v>
      </c>
      <c r="F71" s="10">
        <f t="shared" si="1"/>
        <v>0</v>
      </c>
    </row>
    <row r="72" spans="1:7">
      <c r="A72" s="9">
        <v>360</v>
      </c>
      <c r="B72" s="9" t="s">
        <v>234</v>
      </c>
      <c r="C72" s="10">
        <v>215.06</v>
      </c>
      <c r="D72" s="10">
        <v>-573.08000000000004</v>
      </c>
      <c r="E72" s="10">
        <v>0</v>
      </c>
      <c r="F72" s="10">
        <f t="shared" si="1"/>
        <v>-358.02000000000004</v>
      </c>
    </row>
    <row r="73" spans="1:7">
      <c r="A73" s="9">
        <v>825</v>
      </c>
      <c r="B73" s="9" t="s">
        <v>233</v>
      </c>
      <c r="C73" s="10">
        <v>618.75</v>
      </c>
      <c r="D73" s="10">
        <v>-396.8</v>
      </c>
      <c r="E73" s="10">
        <v>221.95</v>
      </c>
      <c r="F73" s="10">
        <f t="shared" si="1"/>
        <v>0</v>
      </c>
    </row>
    <row r="74" spans="1:7">
      <c r="A74" s="9">
        <v>237</v>
      </c>
      <c r="B74" s="9" t="s">
        <v>232</v>
      </c>
      <c r="C74" s="10">
        <v>426.25</v>
      </c>
      <c r="D74" s="10">
        <v>0</v>
      </c>
      <c r="E74" s="10">
        <v>426.25</v>
      </c>
      <c r="F74" s="10">
        <f t="shared" si="1"/>
        <v>0</v>
      </c>
    </row>
    <row r="75" spans="1:7">
      <c r="A75" s="9">
        <v>645</v>
      </c>
      <c r="B75" s="9" t="s">
        <v>231</v>
      </c>
      <c r="C75" s="10">
        <v>757.36</v>
      </c>
      <c r="D75" s="10">
        <v>-726.81</v>
      </c>
      <c r="E75" s="10">
        <v>30.550000000000068</v>
      </c>
      <c r="F75" s="10">
        <f t="shared" si="1"/>
        <v>0</v>
      </c>
      <c r="G75" s="10">
        <f>SUM(E58:E75)</f>
        <v>6416.63</v>
      </c>
    </row>
    <row r="76" spans="1:7">
      <c r="A76" s="9">
        <v>127</v>
      </c>
      <c r="B76" s="9" t="s">
        <v>230</v>
      </c>
      <c r="C76" s="10">
        <v>0</v>
      </c>
      <c r="D76" s="10">
        <v>30</v>
      </c>
      <c r="E76" s="10">
        <v>30</v>
      </c>
      <c r="F76" s="10">
        <f t="shared" si="1"/>
        <v>0</v>
      </c>
    </row>
    <row r="77" spans="1:7">
      <c r="A77" s="9">
        <v>131</v>
      </c>
      <c r="B77" s="9" t="s">
        <v>229</v>
      </c>
      <c r="C77" s="10">
        <v>10</v>
      </c>
      <c r="D77" s="10">
        <v>10</v>
      </c>
      <c r="E77" s="10">
        <v>20</v>
      </c>
      <c r="F77" s="10">
        <f t="shared" si="1"/>
        <v>0</v>
      </c>
    </row>
    <row r="78" spans="1:7">
      <c r="A78" s="9">
        <v>150</v>
      </c>
      <c r="B78" s="9" t="s">
        <v>228</v>
      </c>
      <c r="C78" s="10">
        <v>300</v>
      </c>
      <c r="D78" s="10">
        <v>50</v>
      </c>
      <c r="E78" s="10">
        <v>350</v>
      </c>
      <c r="F78" s="10">
        <f t="shared" si="1"/>
        <v>0</v>
      </c>
    </row>
    <row r="79" spans="1:7">
      <c r="A79" s="9">
        <v>134</v>
      </c>
      <c r="B79" s="9" t="s">
        <v>227</v>
      </c>
      <c r="C79" s="10">
        <v>158.66999999999999</v>
      </c>
      <c r="D79" s="10">
        <v>20</v>
      </c>
      <c r="E79" s="10">
        <v>178.67</v>
      </c>
      <c r="F79" s="10">
        <f t="shared" si="1"/>
        <v>0</v>
      </c>
    </row>
    <row r="80" spans="1:7">
      <c r="A80" s="9">
        <v>135</v>
      </c>
      <c r="B80" s="9" t="s">
        <v>226</v>
      </c>
      <c r="C80" s="10">
        <v>78</v>
      </c>
      <c r="D80" s="10">
        <v>0</v>
      </c>
      <c r="E80" s="10">
        <v>78</v>
      </c>
      <c r="F80" s="10">
        <f t="shared" si="1"/>
        <v>0</v>
      </c>
    </row>
    <row r="81" spans="1:6">
      <c r="A81" s="9">
        <v>137</v>
      </c>
      <c r="B81" s="9" t="s">
        <v>225</v>
      </c>
      <c r="C81" s="10">
        <v>0</v>
      </c>
      <c r="D81" s="10">
        <v>5</v>
      </c>
      <c r="E81" s="10">
        <v>5</v>
      </c>
      <c r="F81" s="10">
        <f t="shared" si="1"/>
        <v>0</v>
      </c>
    </row>
    <row r="82" spans="1:6">
      <c r="A82" s="9">
        <v>139</v>
      </c>
      <c r="B82" s="9" t="s">
        <v>224</v>
      </c>
      <c r="C82" s="10">
        <v>53.85</v>
      </c>
      <c r="D82" s="10">
        <v>0</v>
      </c>
      <c r="E82" s="10">
        <v>53.85</v>
      </c>
      <c r="F82" s="10">
        <f t="shared" si="1"/>
        <v>0</v>
      </c>
    </row>
    <row r="83" spans="1:6">
      <c r="A83" s="9">
        <v>141</v>
      </c>
      <c r="B83" s="9" t="s">
        <v>223</v>
      </c>
      <c r="C83" s="10">
        <v>0</v>
      </c>
      <c r="D83" s="10">
        <v>25</v>
      </c>
      <c r="E83" s="10">
        <v>25</v>
      </c>
      <c r="F83" s="10">
        <f t="shared" si="1"/>
        <v>0</v>
      </c>
    </row>
    <row r="84" spans="1:6">
      <c r="A84" s="9">
        <v>143</v>
      </c>
      <c r="B84" s="9" t="s">
        <v>222</v>
      </c>
      <c r="C84" s="10">
        <v>0</v>
      </c>
      <c r="D84" s="10">
        <v>155</v>
      </c>
      <c r="E84" s="10">
        <v>155</v>
      </c>
      <c r="F84" s="10">
        <f t="shared" si="1"/>
        <v>0</v>
      </c>
    </row>
    <row r="85" spans="1:6">
      <c r="A85" s="9">
        <v>144</v>
      </c>
      <c r="B85" s="9" t="s">
        <v>221</v>
      </c>
      <c r="C85" s="10">
        <v>0</v>
      </c>
      <c r="D85" s="10">
        <v>15</v>
      </c>
      <c r="E85" s="10">
        <v>15</v>
      </c>
      <c r="F85" s="10">
        <f t="shared" si="1"/>
        <v>0</v>
      </c>
    </row>
    <row r="86" spans="1:6">
      <c r="A86" s="9">
        <v>145</v>
      </c>
      <c r="B86" s="9" t="s">
        <v>220</v>
      </c>
      <c r="C86" s="10">
        <v>0</v>
      </c>
      <c r="D86" s="10">
        <v>10</v>
      </c>
      <c r="E86" s="10">
        <v>10</v>
      </c>
      <c r="F86" s="10">
        <f t="shared" si="1"/>
        <v>0</v>
      </c>
    </row>
    <row r="87" spans="1:6">
      <c r="A87" s="9">
        <v>124</v>
      </c>
      <c r="B87" s="9" t="s">
        <v>219</v>
      </c>
      <c r="C87" s="10">
        <v>0</v>
      </c>
      <c r="D87" s="10">
        <v>10</v>
      </c>
      <c r="E87" s="10">
        <v>10</v>
      </c>
      <c r="F87" s="10">
        <f t="shared" si="1"/>
        <v>0</v>
      </c>
    </row>
    <row r="88" spans="1:6">
      <c r="A88" s="9">
        <v>151</v>
      </c>
      <c r="B88" s="9" t="s">
        <v>218</v>
      </c>
      <c r="C88" s="10">
        <v>35</v>
      </c>
      <c r="D88" s="10">
        <v>0</v>
      </c>
      <c r="E88" s="10">
        <v>35</v>
      </c>
      <c r="F88" s="10">
        <f t="shared" si="1"/>
        <v>0</v>
      </c>
    </row>
    <row r="89" spans="1:6">
      <c r="A89" s="9">
        <v>114</v>
      </c>
      <c r="B89" s="9" t="s">
        <v>217</v>
      </c>
      <c r="C89" s="10">
        <v>0</v>
      </c>
      <c r="D89" s="10">
        <v>15</v>
      </c>
      <c r="E89" s="10">
        <v>15</v>
      </c>
      <c r="F89" s="10">
        <f t="shared" si="1"/>
        <v>0</v>
      </c>
    </row>
    <row r="90" spans="1:6">
      <c r="A90" s="9">
        <v>1140</v>
      </c>
      <c r="B90" s="9" t="s">
        <v>216</v>
      </c>
      <c r="C90" s="10">
        <v>0</v>
      </c>
      <c r="D90" s="10">
        <v>1</v>
      </c>
      <c r="E90" s="10">
        <v>1</v>
      </c>
      <c r="F90" s="10">
        <f t="shared" si="1"/>
        <v>0</v>
      </c>
    </row>
    <row r="91" spans="1:6">
      <c r="A91" s="9">
        <v>136</v>
      </c>
      <c r="B91" s="9" t="s">
        <v>215</v>
      </c>
      <c r="C91" s="10">
        <v>0</v>
      </c>
      <c r="D91" s="10">
        <v>30</v>
      </c>
      <c r="E91" s="10">
        <v>30</v>
      </c>
      <c r="F91" s="10">
        <f t="shared" si="1"/>
        <v>0</v>
      </c>
    </row>
    <row r="92" spans="1:6">
      <c r="A92" s="9">
        <v>138</v>
      </c>
      <c r="B92" s="9" t="s">
        <v>214</v>
      </c>
      <c r="C92" s="10">
        <v>53.68</v>
      </c>
      <c r="D92" s="10">
        <v>0</v>
      </c>
      <c r="E92" s="10">
        <v>53.68</v>
      </c>
      <c r="F92" s="10">
        <f t="shared" si="1"/>
        <v>0</v>
      </c>
    </row>
    <row r="93" spans="1:6">
      <c r="A93" s="9">
        <v>123</v>
      </c>
      <c r="B93" s="9" t="s">
        <v>213</v>
      </c>
      <c r="C93" s="10">
        <v>430</v>
      </c>
      <c r="D93" s="10">
        <v>6.0000000000002301E-2</v>
      </c>
      <c r="E93" s="10">
        <v>430.06</v>
      </c>
      <c r="F93" s="10">
        <f t="shared" si="1"/>
        <v>0</v>
      </c>
    </row>
    <row r="94" spans="1:6">
      <c r="A94" s="9">
        <v>911</v>
      </c>
      <c r="B94" s="9" t="s">
        <v>212</v>
      </c>
      <c r="C94" s="10">
        <v>0</v>
      </c>
      <c r="D94" s="10">
        <v>30</v>
      </c>
      <c r="E94" s="10">
        <v>30</v>
      </c>
      <c r="F94" s="10">
        <f t="shared" si="1"/>
        <v>0</v>
      </c>
    </row>
    <row r="95" spans="1:6">
      <c r="A95" s="9">
        <v>128</v>
      </c>
      <c r="B95" s="9" t="s">
        <v>211</v>
      </c>
      <c r="C95" s="10">
        <v>0</v>
      </c>
      <c r="D95" s="10">
        <v>15</v>
      </c>
      <c r="E95" s="10">
        <v>15</v>
      </c>
      <c r="F95" s="10">
        <f t="shared" si="1"/>
        <v>0</v>
      </c>
    </row>
    <row r="96" spans="1:6">
      <c r="A96" s="9">
        <v>723</v>
      </c>
      <c r="B96" s="9" t="s">
        <v>210</v>
      </c>
      <c r="C96" s="10">
        <v>145.71</v>
      </c>
      <c r="D96" s="10">
        <v>-130.30000000000001</v>
      </c>
      <c r="E96" s="10">
        <v>15.409999999999997</v>
      </c>
      <c r="F96" s="10">
        <f t="shared" si="1"/>
        <v>0</v>
      </c>
    </row>
    <row r="97" spans="1:7">
      <c r="A97" s="9">
        <v>129</v>
      </c>
      <c r="B97" s="9" t="s">
        <v>209</v>
      </c>
      <c r="C97" s="10">
        <v>0</v>
      </c>
      <c r="D97" s="10">
        <v>20</v>
      </c>
      <c r="E97" s="10">
        <v>20</v>
      </c>
      <c r="F97" s="10">
        <f t="shared" si="1"/>
        <v>0</v>
      </c>
    </row>
    <row r="98" spans="1:7">
      <c r="A98" s="9">
        <v>130</v>
      </c>
      <c r="B98" s="9" t="s">
        <v>208</v>
      </c>
      <c r="C98" s="10">
        <v>68.75</v>
      </c>
      <c r="D98" s="10">
        <v>40</v>
      </c>
      <c r="E98" s="10">
        <v>108.75</v>
      </c>
      <c r="F98" s="10">
        <f t="shared" si="1"/>
        <v>0</v>
      </c>
    </row>
    <row r="99" spans="1:7">
      <c r="A99" s="9">
        <v>149</v>
      </c>
      <c r="B99" s="9" t="s">
        <v>207</v>
      </c>
      <c r="C99" s="10">
        <v>182.38</v>
      </c>
      <c r="D99" s="10">
        <v>-182.38</v>
      </c>
      <c r="E99" s="10">
        <v>0</v>
      </c>
      <c r="F99" s="10">
        <f t="shared" si="1"/>
        <v>0</v>
      </c>
    </row>
    <row r="100" spans="1:7">
      <c r="A100" s="9">
        <v>148</v>
      </c>
      <c r="B100" s="9" t="s">
        <v>206</v>
      </c>
      <c r="C100" s="10">
        <v>67.5</v>
      </c>
      <c r="D100" s="10">
        <v>0</v>
      </c>
      <c r="E100" s="10">
        <v>67.5</v>
      </c>
      <c r="F100" s="10">
        <f t="shared" si="1"/>
        <v>0</v>
      </c>
    </row>
    <row r="101" spans="1:7">
      <c r="A101" s="9">
        <v>827</v>
      </c>
      <c r="B101" s="9" t="s">
        <v>205</v>
      </c>
      <c r="C101" s="10">
        <v>0</v>
      </c>
      <c r="D101" s="10">
        <v>25</v>
      </c>
      <c r="E101" s="10">
        <v>25</v>
      </c>
      <c r="F101" s="10">
        <f t="shared" si="1"/>
        <v>0</v>
      </c>
    </row>
    <row r="102" spans="1:7">
      <c r="A102" s="9">
        <v>140</v>
      </c>
      <c r="B102" s="9" t="s">
        <v>204</v>
      </c>
      <c r="C102" s="10">
        <v>53.45</v>
      </c>
      <c r="D102" s="10">
        <v>-53.45</v>
      </c>
      <c r="E102" s="10">
        <v>0</v>
      </c>
      <c r="F102" s="10">
        <f t="shared" si="1"/>
        <v>0</v>
      </c>
      <c r="G102" s="10">
        <f>SUM(E76:E102)</f>
        <v>1776.92</v>
      </c>
    </row>
    <row r="103" spans="1:7">
      <c r="A103" s="9">
        <v>347</v>
      </c>
      <c r="B103" s="9" t="s">
        <v>203</v>
      </c>
      <c r="C103" s="10">
        <v>456.5</v>
      </c>
      <c r="D103" s="10">
        <v>-100</v>
      </c>
      <c r="E103" s="10">
        <v>356.5</v>
      </c>
      <c r="F103" s="10">
        <f t="shared" si="1"/>
        <v>0</v>
      </c>
      <c r="G103" s="10">
        <f>E103</f>
        <v>356.5</v>
      </c>
    </row>
    <row r="104" spans="1:7">
      <c r="A104" s="9">
        <v>1032</v>
      </c>
      <c r="B104" s="9" t="s">
        <v>202</v>
      </c>
      <c r="C104" s="10">
        <v>114.04</v>
      </c>
      <c r="D104" s="10">
        <v>0</v>
      </c>
      <c r="E104" s="10">
        <v>114.04</v>
      </c>
      <c r="F104" s="10">
        <f t="shared" si="1"/>
        <v>0</v>
      </c>
    </row>
    <row r="105" spans="1:7">
      <c r="A105" s="9">
        <v>788</v>
      </c>
      <c r="B105" s="9" t="s">
        <v>201</v>
      </c>
      <c r="C105" s="10">
        <v>69.3</v>
      </c>
      <c r="D105" s="10">
        <v>0</v>
      </c>
      <c r="E105" s="10">
        <v>69.3</v>
      </c>
      <c r="F105" s="10">
        <f t="shared" si="1"/>
        <v>0</v>
      </c>
    </row>
    <row r="106" spans="1:7">
      <c r="A106" s="9">
        <v>275</v>
      </c>
      <c r="B106" s="9" t="s">
        <v>200</v>
      </c>
      <c r="C106" s="10">
        <v>3407.3</v>
      </c>
      <c r="D106" s="10">
        <v>-741.74</v>
      </c>
      <c r="E106" s="10">
        <v>2665.5600000000004</v>
      </c>
      <c r="F106" s="10">
        <f t="shared" si="1"/>
        <v>0</v>
      </c>
    </row>
    <row r="107" spans="1:7">
      <c r="A107" s="9">
        <v>760</v>
      </c>
      <c r="B107" s="9" t="s">
        <v>199</v>
      </c>
      <c r="C107" s="10">
        <v>274</v>
      </c>
      <c r="D107" s="10">
        <v>0</v>
      </c>
      <c r="E107" s="10">
        <v>274</v>
      </c>
      <c r="F107" s="10">
        <f t="shared" si="1"/>
        <v>0</v>
      </c>
    </row>
    <row r="108" spans="1:7">
      <c r="A108" s="9">
        <v>277</v>
      </c>
      <c r="B108" s="9" t="s">
        <v>198</v>
      </c>
      <c r="C108" s="10">
        <v>7312.64</v>
      </c>
      <c r="D108" s="10">
        <v>0</v>
      </c>
      <c r="E108" s="10">
        <v>7312.64</v>
      </c>
      <c r="F108" s="10">
        <f t="shared" si="1"/>
        <v>0</v>
      </c>
    </row>
    <row r="109" spans="1:7">
      <c r="A109" s="9">
        <v>747</v>
      </c>
      <c r="B109" s="9" t="s">
        <v>197</v>
      </c>
      <c r="C109" s="10">
        <v>675.69</v>
      </c>
      <c r="D109" s="10">
        <v>-285.92</v>
      </c>
      <c r="E109" s="10">
        <v>389.77000000000004</v>
      </c>
      <c r="F109" s="10">
        <f t="shared" si="1"/>
        <v>0</v>
      </c>
    </row>
    <row r="110" spans="1:7">
      <c r="A110" s="9">
        <v>1170</v>
      </c>
      <c r="B110" s="9" t="s">
        <v>196</v>
      </c>
      <c r="C110" s="10">
        <v>528</v>
      </c>
      <c r="D110" s="10">
        <v>0</v>
      </c>
      <c r="E110" s="10">
        <v>528</v>
      </c>
      <c r="F110" s="10">
        <f t="shared" si="1"/>
        <v>0</v>
      </c>
    </row>
    <row r="111" spans="1:7">
      <c r="A111" s="9">
        <v>1033</v>
      </c>
      <c r="B111" s="9" t="s">
        <v>195</v>
      </c>
      <c r="C111" s="10">
        <v>0</v>
      </c>
      <c r="D111" s="10">
        <v>20</v>
      </c>
      <c r="E111" s="10">
        <v>20</v>
      </c>
      <c r="F111" s="10">
        <f t="shared" si="1"/>
        <v>0</v>
      </c>
    </row>
    <row r="112" spans="1:7">
      <c r="A112" s="9">
        <v>278</v>
      </c>
      <c r="B112" s="9" t="s">
        <v>194</v>
      </c>
      <c r="C112" s="10">
        <v>682.2</v>
      </c>
      <c r="D112" s="10">
        <v>125</v>
      </c>
      <c r="E112" s="10">
        <v>807.2</v>
      </c>
      <c r="F112" s="10">
        <f t="shared" si="1"/>
        <v>0</v>
      </c>
    </row>
    <row r="113" spans="1:6">
      <c r="A113" s="9">
        <v>889</v>
      </c>
      <c r="B113" s="9" t="s">
        <v>193</v>
      </c>
      <c r="C113" s="10">
        <v>689.52</v>
      </c>
      <c r="D113" s="10">
        <v>-6.58</v>
      </c>
      <c r="E113" s="10">
        <v>682.93999999999994</v>
      </c>
      <c r="F113" s="10">
        <f t="shared" si="1"/>
        <v>0</v>
      </c>
    </row>
    <row r="114" spans="1:6">
      <c r="A114" s="9">
        <v>709</v>
      </c>
      <c r="B114" s="9" t="s">
        <v>192</v>
      </c>
      <c r="C114" s="10">
        <v>10</v>
      </c>
      <c r="D114" s="10">
        <v>0</v>
      </c>
      <c r="E114" s="10">
        <v>10</v>
      </c>
      <c r="F114" s="10">
        <f t="shared" si="1"/>
        <v>0</v>
      </c>
    </row>
    <row r="115" spans="1:6">
      <c r="A115" s="9">
        <v>295</v>
      </c>
      <c r="B115" s="9" t="s">
        <v>191</v>
      </c>
      <c r="C115" s="10">
        <v>420.5</v>
      </c>
      <c r="D115" s="10">
        <v>0</v>
      </c>
      <c r="E115" s="10">
        <v>420.5</v>
      </c>
      <c r="F115" s="10">
        <f t="shared" si="1"/>
        <v>0</v>
      </c>
    </row>
    <row r="116" spans="1:6">
      <c r="A116" s="9">
        <v>272</v>
      </c>
      <c r="B116" s="9" t="s">
        <v>190</v>
      </c>
      <c r="C116" s="10">
        <v>2293.13</v>
      </c>
      <c r="D116" s="10">
        <v>9365.66</v>
      </c>
      <c r="E116" s="10">
        <v>11658.79</v>
      </c>
      <c r="F116" s="10">
        <f t="shared" si="1"/>
        <v>0</v>
      </c>
    </row>
    <row r="117" spans="1:6">
      <c r="A117" s="9">
        <v>273</v>
      </c>
      <c r="B117" s="9" t="s">
        <v>189</v>
      </c>
      <c r="C117" s="10">
        <v>4419.21</v>
      </c>
      <c r="D117" s="10">
        <v>-6005.59</v>
      </c>
      <c r="E117" s="10">
        <v>0</v>
      </c>
      <c r="F117" s="10">
        <f t="shared" si="1"/>
        <v>-1586.38</v>
      </c>
    </row>
    <row r="118" spans="1:6">
      <c r="A118" s="9">
        <v>728</v>
      </c>
      <c r="B118" s="9" t="s">
        <v>188</v>
      </c>
      <c r="C118" s="10">
        <v>116.85</v>
      </c>
      <c r="D118" s="10">
        <v>125</v>
      </c>
      <c r="E118" s="10">
        <v>241.85</v>
      </c>
      <c r="F118" s="10">
        <f t="shared" si="1"/>
        <v>0</v>
      </c>
    </row>
    <row r="119" spans="1:6">
      <c r="A119" s="9">
        <v>311</v>
      </c>
      <c r="B119" s="9" t="s">
        <v>187</v>
      </c>
      <c r="C119" s="10">
        <v>1512.08</v>
      </c>
      <c r="D119" s="10">
        <v>0</v>
      </c>
      <c r="E119" s="10">
        <v>1512.08</v>
      </c>
      <c r="F119" s="10">
        <f t="shared" si="1"/>
        <v>0</v>
      </c>
    </row>
    <row r="120" spans="1:6">
      <c r="A120" s="9">
        <v>281</v>
      </c>
      <c r="B120" s="9" t="s">
        <v>186</v>
      </c>
      <c r="C120" s="10">
        <v>5592.47</v>
      </c>
      <c r="D120" s="10">
        <v>-5592.2</v>
      </c>
      <c r="E120" s="10">
        <v>0.27000000000043656</v>
      </c>
      <c r="F120" s="10">
        <f t="shared" si="1"/>
        <v>0</v>
      </c>
    </row>
    <row r="121" spans="1:6">
      <c r="A121" s="9">
        <v>282</v>
      </c>
      <c r="B121" s="9" t="s">
        <v>185</v>
      </c>
      <c r="C121" s="10">
        <v>270.79000000000002</v>
      </c>
      <c r="D121" s="10">
        <v>-131.52000000000001</v>
      </c>
      <c r="E121" s="10">
        <v>139.27000000000001</v>
      </c>
      <c r="F121" s="10">
        <f t="shared" si="1"/>
        <v>0</v>
      </c>
    </row>
    <row r="122" spans="1:6">
      <c r="A122" s="9">
        <v>285</v>
      </c>
      <c r="B122" s="9" t="s">
        <v>184</v>
      </c>
      <c r="C122" s="10">
        <v>7004.44</v>
      </c>
      <c r="D122" s="10">
        <v>-6821.52</v>
      </c>
      <c r="E122" s="10">
        <v>182.91999999999916</v>
      </c>
      <c r="F122" s="10">
        <f t="shared" si="1"/>
        <v>0</v>
      </c>
    </row>
    <row r="123" spans="1:6">
      <c r="A123" s="9">
        <v>305</v>
      </c>
      <c r="B123" s="9" t="s">
        <v>183</v>
      </c>
      <c r="C123" s="10">
        <v>2618.75</v>
      </c>
      <c r="D123" s="10">
        <v>0</v>
      </c>
      <c r="E123" s="10">
        <v>2618.75</v>
      </c>
      <c r="F123" s="10">
        <f t="shared" si="1"/>
        <v>0</v>
      </c>
    </row>
    <row r="124" spans="1:6">
      <c r="A124" s="9">
        <v>679</v>
      </c>
      <c r="B124" s="9" t="s">
        <v>182</v>
      </c>
      <c r="C124" s="10">
        <v>551.23</v>
      </c>
      <c r="D124" s="10">
        <v>-248.75</v>
      </c>
      <c r="E124" s="10">
        <v>302.48</v>
      </c>
      <c r="F124" s="10">
        <f t="shared" si="1"/>
        <v>0</v>
      </c>
    </row>
    <row r="125" spans="1:6">
      <c r="A125" s="9">
        <v>296</v>
      </c>
      <c r="B125" s="9" t="s">
        <v>181</v>
      </c>
      <c r="C125" s="10">
        <v>1231.44</v>
      </c>
      <c r="D125" s="10">
        <v>-985.33</v>
      </c>
      <c r="E125" s="10">
        <v>246.11</v>
      </c>
      <c r="F125" s="10">
        <f t="shared" si="1"/>
        <v>0</v>
      </c>
    </row>
    <row r="126" spans="1:6">
      <c r="A126" s="9">
        <v>304</v>
      </c>
      <c r="B126" s="9" t="s">
        <v>180</v>
      </c>
      <c r="C126" s="10">
        <v>633.66999999999996</v>
      </c>
      <c r="D126" s="10">
        <v>130</v>
      </c>
      <c r="E126" s="10">
        <v>763.67</v>
      </c>
      <c r="F126" s="10">
        <f t="shared" si="1"/>
        <v>0</v>
      </c>
    </row>
    <row r="127" spans="1:6">
      <c r="A127" s="9">
        <v>287</v>
      </c>
      <c r="B127" s="9" t="s">
        <v>179</v>
      </c>
      <c r="C127" s="10">
        <v>3100.63</v>
      </c>
      <c r="D127" s="10">
        <v>-3100.63</v>
      </c>
      <c r="E127" s="10">
        <v>0</v>
      </c>
      <c r="F127" s="10">
        <f t="shared" si="1"/>
        <v>0</v>
      </c>
    </row>
    <row r="128" spans="1:6">
      <c r="A128" s="9">
        <v>712</v>
      </c>
      <c r="B128" s="9" t="s">
        <v>178</v>
      </c>
      <c r="C128" s="10">
        <v>0</v>
      </c>
      <c r="D128" s="10">
        <v>20</v>
      </c>
      <c r="E128" s="10">
        <v>20</v>
      </c>
      <c r="F128" s="10">
        <f t="shared" si="1"/>
        <v>0</v>
      </c>
    </row>
    <row r="129" spans="1:6">
      <c r="A129" s="9">
        <v>704</v>
      </c>
      <c r="B129" s="9" t="s">
        <v>177</v>
      </c>
      <c r="C129" s="10">
        <v>33.61</v>
      </c>
      <c r="D129" s="10">
        <v>0</v>
      </c>
      <c r="E129" s="10">
        <v>33.61</v>
      </c>
      <c r="F129" s="10">
        <f t="shared" si="1"/>
        <v>0</v>
      </c>
    </row>
    <row r="130" spans="1:6">
      <c r="A130" s="9">
        <v>708</v>
      </c>
      <c r="B130" s="9" t="s">
        <v>176</v>
      </c>
      <c r="C130" s="10">
        <v>344.25</v>
      </c>
      <c r="D130" s="10">
        <v>175.3</v>
      </c>
      <c r="E130" s="10">
        <v>519.54999999999995</v>
      </c>
      <c r="F130" s="10">
        <f t="shared" ref="F130:F193" si="2">IF(C130+D130&lt;0, C130+D130, 0)</f>
        <v>0</v>
      </c>
    </row>
    <row r="131" spans="1:6">
      <c r="A131" s="9">
        <v>1035</v>
      </c>
      <c r="B131" s="9" t="s">
        <v>175</v>
      </c>
      <c r="C131" s="10">
        <v>3.3</v>
      </c>
      <c r="D131" s="10">
        <v>0</v>
      </c>
      <c r="E131" s="10">
        <v>3.3</v>
      </c>
      <c r="F131" s="10">
        <f t="shared" si="2"/>
        <v>0</v>
      </c>
    </row>
    <row r="132" spans="1:6">
      <c r="A132" s="9">
        <v>1036</v>
      </c>
      <c r="B132" s="9" t="s">
        <v>174</v>
      </c>
      <c r="C132" s="10">
        <v>51.12</v>
      </c>
      <c r="D132" s="10">
        <v>159.09</v>
      </c>
      <c r="E132" s="10">
        <v>210.21</v>
      </c>
      <c r="F132" s="10">
        <f t="shared" si="2"/>
        <v>0</v>
      </c>
    </row>
    <row r="133" spans="1:6">
      <c r="A133" s="9">
        <v>707</v>
      </c>
      <c r="B133" s="9" t="s">
        <v>173</v>
      </c>
      <c r="C133" s="10">
        <v>79.75</v>
      </c>
      <c r="D133" s="10">
        <v>200</v>
      </c>
      <c r="E133" s="10">
        <v>279.75</v>
      </c>
      <c r="F133" s="10">
        <f t="shared" si="2"/>
        <v>0</v>
      </c>
    </row>
    <row r="134" spans="1:6">
      <c r="A134" s="9">
        <v>307</v>
      </c>
      <c r="B134" s="9" t="s">
        <v>172</v>
      </c>
      <c r="C134" s="10">
        <v>41.25</v>
      </c>
      <c r="D134" s="10">
        <v>0</v>
      </c>
      <c r="E134" s="10">
        <v>41.25</v>
      </c>
      <c r="F134" s="10">
        <f t="shared" si="2"/>
        <v>0</v>
      </c>
    </row>
    <row r="135" spans="1:6">
      <c r="A135" s="9">
        <v>288</v>
      </c>
      <c r="B135" s="9" t="s">
        <v>171</v>
      </c>
      <c r="C135" s="10">
        <v>6066.63</v>
      </c>
      <c r="D135" s="10">
        <v>-5965.51</v>
      </c>
      <c r="E135" s="10">
        <v>101.11999999999989</v>
      </c>
      <c r="F135" s="10">
        <f t="shared" si="2"/>
        <v>0</v>
      </c>
    </row>
    <row r="136" spans="1:6">
      <c r="A136" s="9">
        <v>1106</v>
      </c>
      <c r="B136" s="9" t="s">
        <v>170</v>
      </c>
      <c r="C136" s="10">
        <v>2.35</v>
      </c>
      <c r="D136" s="10">
        <v>0</v>
      </c>
      <c r="E136" s="10">
        <v>2.35</v>
      </c>
      <c r="F136" s="10">
        <f t="shared" si="2"/>
        <v>0</v>
      </c>
    </row>
    <row r="137" spans="1:6">
      <c r="A137" s="9">
        <v>292</v>
      </c>
      <c r="B137" s="9" t="s">
        <v>169</v>
      </c>
      <c r="C137" s="10">
        <v>317.55</v>
      </c>
      <c r="D137" s="10">
        <v>79.5</v>
      </c>
      <c r="E137" s="10">
        <v>397.05</v>
      </c>
      <c r="F137" s="10">
        <f t="shared" si="2"/>
        <v>0</v>
      </c>
    </row>
    <row r="138" spans="1:6">
      <c r="A138" s="9">
        <v>298</v>
      </c>
      <c r="B138" s="9" t="s">
        <v>168</v>
      </c>
      <c r="C138" s="10">
        <v>146.25</v>
      </c>
      <c r="D138" s="10">
        <v>0</v>
      </c>
      <c r="E138" s="10">
        <v>146.25</v>
      </c>
      <c r="F138" s="10">
        <f t="shared" si="2"/>
        <v>0</v>
      </c>
    </row>
    <row r="139" spans="1:6">
      <c r="A139" s="9">
        <v>662</v>
      </c>
      <c r="B139" s="9" t="s">
        <v>167</v>
      </c>
      <c r="C139" s="10">
        <v>0</v>
      </c>
      <c r="D139" s="10">
        <v>1535.6</v>
      </c>
      <c r="E139" s="10">
        <v>1535.6</v>
      </c>
      <c r="F139" s="10">
        <f t="shared" si="2"/>
        <v>0</v>
      </c>
    </row>
    <row r="140" spans="1:6">
      <c r="A140" s="9">
        <v>1040</v>
      </c>
      <c r="B140" s="9" t="s">
        <v>166</v>
      </c>
      <c r="C140" s="10">
        <v>245.58</v>
      </c>
      <c r="D140" s="10">
        <v>-106.02</v>
      </c>
      <c r="E140" s="10">
        <v>139.56</v>
      </c>
      <c r="F140" s="10">
        <f t="shared" si="2"/>
        <v>0</v>
      </c>
    </row>
    <row r="141" spans="1:6">
      <c r="A141" s="9">
        <v>286</v>
      </c>
      <c r="B141" s="9" t="s">
        <v>165</v>
      </c>
      <c r="C141" s="10">
        <v>300.11</v>
      </c>
      <c r="D141" s="10">
        <v>0</v>
      </c>
      <c r="E141" s="10">
        <v>300.11</v>
      </c>
      <c r="F141" s="10">
        <f t="shared" si="2"/>
        <v>0</v>
      </c>
    </row>
    <row r="142" spans="1:6">
      <c r="A142" s="9">
        <v>293</v>
      </c>
      <c r="B142" s="9" t="s">
        <v>164</v>
      </c>
      <c r="C142" s="10">
        <v>2202.42</v>
      </c>
      <c r="D142" s="10">
        <v>0.49999999999994299</v>
      </c>
      <c r="E142" s="10">
        <v>2202.92</v>
      </c>
      <c r="F142" s="10">
        <f t="shared" si="2"/>
        <v>0</v>
      </c>
    </row>
    <row r="143" spans="1:6">
      <c r="A143" s="9">
        <v>306</v>
      </c>
      <c r="B143" s="9" t="s">
        <v>163</v>
      </c>
      <c r="C143" s="10">
        <v>355.88</v>
      </c>
      <c r="D143" s="10">
        <v>0</v>
      </c>
      <c r="E143" s="10">
        <v>355.88</v>
      </c>
      <c r="F143" s="10">
        <f t="shared" si="2"/>
        <v>0</v>
      </c>
    </row>
    <row r="144" spans="1:6">
      <c r="A144" s="9">
        <v>1117</v>
      </c>
      <c r="B144" s="9" t="s">
        <v>162</v>
      </c>
      <c r="C144" s="10">
        <v>1427.96</v>
      </c>
      <c r="D144" s="10">
        <v>62.35</v>
      </c>
      <c r="E144" s="10">
        <v>1490.31</v>
      </c>
      <c r="F144" s="10">
        <f t="shared" si="2"/>
        <v>0</v>
      </c>
    </row>
    <row r="145" spans="1:7">
      <c r="A145" s="9">
        <v>283</v>
      </c>
      <c r="B145" s="9" t="s">
        <v>161</v>
      </c>
      <c r="C145" s="10">
        <v>4884.37</v>
      </c>
      <c r="D145" s="10">
        <v>-2076.9299999999998</v>
      </c>
      <c r="E145" s="10">
        <v>2807.44</v>
      </c>
      <c r="F145" s="10">
        <f t="shared" si="2"/>
        <v>0</v>
      </c>
    </row>
    <row r="146" spans="1:7">
      <c r="A146" s="9">
        <v>355</v>
      </c>
      <c r="B146" s="9" t="s">
        <v>160</v>
      </c>
      <c r="C146" s="10">
        <v>708.4</v>
      </c>
      <c r="D146" s="10">
        <v>15</v>
      </c>
      <c r="E146" s="10">
        <v>723.4</v>
      </c>
      <c r="F146" s="10">
        <f t="shared" si="2"/>
        <v>0</v>
      </c>
      <c r="G146" s="10">
        <f>SUM(E104:E146)</f>
        <v>42269.799999999996</v>
      </c>
    </row>
    <row r="147" spans="1:7">
      <c r="A147" s="9">
        <v>1191</v>
      </c>
      <c r="B147" s="9" t="s">
        <v>159</v>
      </c>
      <c r="C147" s="10">
        <v>0</v>
      </c>
      <c r="D147" s="10">
        <v>15</v>
      </c>
      <c r="E147" s="10">
        <v>15</v>
      </c>
      <c r="F147" s="10">
        <f t="shared" si="2"/>
        <v>0</v>
      </c>
    </row>
    <row r="148" spans="1:7">
      <c r="A148" s="9">
        <v>743</v>
      </c>
      <c r="B148" s="9" t="s">
        <v>158</v>
      </c>
      <c r="C148" s="10">
        <v>0</v>
      </c>
      <c r="D148" s="10">
        <v>45</v>
      </c>
      <c r="E148" s="10">
        <v>45</v>
      </c>
      <c r="F148" s="10">
        <f t="shared" si="2"/>
        <v>0</v>
      </c>
    </row>
    <row r="149" spans="1:7">
      <c r="A149" s="9">
        <v>729</v>
      </c>
      <c r="B149" s="9" t="s">
        <v>157</v>
      </c>
      <c r="C149" s="10">
        <v>0</v>
      </c>
      <c r="D149" s="10">
        <v>30</v>
      </c>
      <c r="E149" s="10">
        <v>30</v>
      </c>
      <c r="F149" s="10">
        <f t="shared" si="2"/>
        <v>0</v>
      </c>
    </row>
    <row r="150" spans="1:7">
      <c r="A150" s="9">
        <v>1065</v>
      </c>
      <c r="B150" s="9" t="s">
        <v>156</v>
      </c>
      <c r="C150" s="10">
        <v>0</v>
      </c>
      <c r="D150" s="10">
        <v>30</v>
      </c>
      <c r="E150" s="10">
        <v>30</v>
      </c>
      <c r="F150" s="10">
        <f t="shared" si="2"/>
        <v>0</v>
      </c>
    </row>
    <row r="151" spans="1:7">
      <c r="A151" s="9">
        <v>898</v>
      </c>
      <c r="B151" s="9" t="s">
        <v>155</v>
      </c>
      <c r="C151" s="10">
        <v>300</v>
      </c>
      <c r="D151" s="10">
        <v>0</v>
      </c>
      <c r="E151" s="10">
        <v>300</v>
      </c>
      <c r="F151" s="10">
        <f t="shared" si="2"/>
        <v>0</v>
      </c>
    </row>
    <row r="152" spans="1:7">
      <c r="A152" s="9">
        <v>1105</v>
      </c>
      <c r="B152" s="9" t="s">
        <v>154</v>
      </c>
      <c r="C152" s="10">
        <v>0</v>
      </c>
      <c r="D152" s="10">
        <v>10</v>
      </c>
      <c r="E152" s="10">
        <v>10</v>
      </c>
      <c r="F152" s="10">
        <f t="shared" si="2"/>
        <v>0</v>
      </c>
    </row>
    <row r="153" spans="1:7">
      <c r="A153" s="9">
        <v>736</v>
      </c>
      <c r="B153" s="9" t="s">
        <v>153</v>
      </c>
      <c r="C153" s="10">
        <v>0</v>
      </c>
      <c r="D153" s="10">
        <v>125</v>
      </c>
      <c r="E153" s="10">
        <v>125</v>
      </c>
      <c r="F153" s="10">
        <f t="shared" si="2"/>
        <v>0</v>
      </c>
    </row>
    <row r="154" spans="1:7">
      <c r="A154" s="9">
        <v>1145</v>
      </c>
      <c r="B154" s="9" t="s">
        <v>152</v>
      </c>
      <c r="C154" s="10">
        <v>0</v>
      </c>
      <c r="D154" s="10">
        <v>3</v>
      </c>
      <c r="E154" s="10">
        <v>3</v>
      </c>
      <c r="F154" s="10">
        <f t="shared" si="2"/>
        <v>0</v>
      </c>
    </row>
    <row r="155" spans="1:7">
      <c r="A155" s="9">
        <v>98</v>
      </c>
      <c r="B155" s="9" t="s">
        <v>151</v>
      </c>
      <c r="C155" s="10">
        <v>684.75</v>
      </c>
      <c r="D155" s="10">
        <v>-631.73</v>
      </c>
      <c r="E155" s="10">
        <v>53.019999999999982</v>
      </c>
      <c r="F155" s="10">
        <f t="shared" si="2"/>
        <v>0</v>
      </c>
    </row>
    <row r="156" spans="1:7">
      <c r="A156" s="9">
        <v>941</v>
      </c>
      <c r="B156" s="9" t="s">
        <v>150</v>
      </c>
      <c r="C156" s="10">
        <v>22.69</v>
      </c>
      <c r="D156" s="10">
        <v>55</v>
      </c>
      <c r="E156" s="10">
        <v>77.69</v>
      </c>
      <c r="F156" s="10">
        <f t="shared" si="2"/>
        <v>0</v>
      </c>
    </row>
    <row r="157" spans="1:7">
      <c r="A157" s="9">
        <v>111</v>
      </c>
      <c r="B157" s="9" t="s">
        <v>149</v>
      </c>
      <c r="C157" s="10">
        <v>290.5</v>
      </c>
      <c r="D157" s="10">
        <v>-85.13</v>
      </c>
      <c r="E157" s="10">
        <v>205.37</v>
      </c>
      <c r="F157" s="10">
        <f t="shared" si="2"/>
        <v>0</v>
      </c>
    </row>
    <row r="158" spans="1:7">
      <c r="A158" s="9">
        <v>1119</v>
      </c>
      <c r="B158" s="9" t="s">
        <v>148</v>
      </c>
      <c r="C158" s="10">
        <v>0</v>
      </c>
      <c r="D158" s="10">
        <v>50</v>
      </c>
      <c r="E158" s="10">
        <v>50</v>
      </c>
      <c r="F158" s="10">
        <f t="shared" si="2"/>
        <v>0</v>
      </c>
    </row>
    <row r="159" spans="1:7">
      <c r="A159" s="9">
        <v>545</v>
      </c>
      <c r="B159" s="9" t="s">
        <v>147</v>
      </c>
      <c r="C159" s="10">
        <v>943.25</v>
      </c>
      <c r="D159" s="10">
        <v>-825</v>
      </c>
      <c r="E159" s="10">
        <v>118.25</v>
      </c>
      <c r="F159" s="10">
        <f t="shared" si="2"/>
        <v>0</v>
      </c>
    </row>
    <row r="160" spans="1:7">
      <c r="A160" s="9">
        <v>573</v>
      </c>
      <c r="B160" s="9" t="s">
        <v>146</v>
      </c>
      <c r="C160" s="10">
        <v>0</v>
      </c>
      <c r="D160" s="10">
        <v>50</v>
      </c>
      <c r="E160" s="10">
        <v>50</v>
      </c>
      <c r="F160" s="10">
        <f t="shared" si="2"/>
        <v>0</v>
      </c>
    </row>
    <row r="161" spans="1:8">
      <c r="A161" s="9">
        <v>909</v>
      </c>
      <c r="B161" s="9" t="s">
        <v>145</v>
      </c>
      <c r="C161" s="10">
        <v>76.02</v>
      </c>
      <c r="D161" s="10">
        <v>-76.02</v>
      </c>
      <c r="E161" s="10">
        <v>0</v>
      </c>
      <c r="F161" s="10">
        <f t="shared" si="2"/>
        <v>0</v>
      </c>
    </row>
    <row r="162" spans="1:8">
      <c r="A162" s="9">
        <v>1024</v>
      </c>
      <c r="B162" s="9" t="s">
        <v>144</v>
      </c>
      <c r="C162" s="10">
        <v>21.45</v>
      </c>
      <c r="D162" s="10">
        <v>0</v>
      </c>
      <c r="E162" s="10">
        <v>21.45</v>
      </c>
      <c r="F162" s="10">
        <f t="shared" si="2"/>
        <v>0</v>
      </c>
    </row>
    <row r="163" spans="1:8">
      <c r="A163" s="9">
        <v>259</v>
      </c>
      <c r="B163" s="9" t="s">
        <v>143</v>
      </c>
      <c r="C163" s="10">
        <v>88.76</v>
      </c>
      <c r="D163" s="10">
        <v>5</v>
      </c>
      <c r="E163" s="10">
        <v>93.76</v>
      </c>
      <c r="F163" s="10">
        <f t="shared" si="2"/>
        <v>0</v>
      </c>
    </row>
    <row r="164" spans="1:8">
      <c r="A164" s="9">
        <v>1115</v>
      </c>
      <c r="B164" s="9" t="s">
        <v>142</v>
      </c>
      <c r="C164" s="10">
        <v>26.4</v>
      </c>
      <c r="D164" s="10">
        <v>15</v>
      </c>
      <c r="E164" s="10">
        <v>41.4</v>
      </c>
      <c r="F164" s="10">
        <f t="shared" si="2"/>
        <v>0</v>
      </c>
    </row>
    <row r="165" spans="1:8">
      <c r="A165" s="9">
        <v>877</v>
      </c>
      <c r="B165" s="9" t="s">
        <v>141</v>
      </c>
      <c r="C165" s="10">
        <v>0</v>
      </c>
      <c r="D165" s="10">
        <v>30</v>
      </c>
      <c r="E165" s="10">
        <v>30</v>
      </c>
      <c r="F165" s="10">
        <f t="shared" si="2"/>
        <v>0</v>
      </c>
    </row>
    <row r="166" spans="1:8">
      <c r="A166" s="9">
        <v>100</v>
      </c>
      <c r="B166" s="9" t="s">
        <v>140</v>
      </c>
      <c r="C166" s="10">
        <v>12.93</v>
      </c>
      <c r="D166" s="10">
        <v>67.989999999999995</v>
      </c>
      <c r="E166" s="10">
        <v>80.919999999999987</v>
      </c>
      <c r="F166" s="10">
        <f t="shared" si="2"/>
        <v>0</v>
      </c>
    </row>
    <row r="167" spans="1:8">
      <c r="A167" s="9">
        <v>71</v>
      </c>
      <c r="B167" s="9" t="s">
        <v>139</v>
      </c>
      <c r="C167" s="10">
        <v>71.5</v>
      </c>
      <c r="D167" s="10">
        <v>20</v>
      </c>
      <c r="E167" s="10">
        <v>91.5</v>
      </c>
      <c r="F167" s="10">
        <f t="shared" si="2"/>
        <v>0</v>
      </c>
    </row>
    <row r="168" spans="1:8">
      <c r="A168" s="9">
        <v>1187</v>
      </c>
      <c r="B168" s="9" t="s">
        <v>138</v>
      </c>
      <c r="C168" s="10">
        <v>0</v>
      </c>
      <c r="D168" s="10">
        <v>20</v>
      </c>
      <c r="E168" s="10">
        <v>20</v>
      </c>
      <c r="F168" s="10">
        <f t="shared" si="2"/>
        <v>0</v>
      </c>
    </row>
    <row r="169" spans="1:8">
      <c r="A169" s="9">
        <v>1015</v>
      </c>
      <c r="B169" s="9" t="s">
        <v>137</v>
      </c>
      <c r="C169" s="10">
        <v>0</v>
      </c>
      <c r="D169" s="10">
        <v>40</v>
      </c>
      <c r="E169" s="10">
        <v>40</v>
      </c>
      <c r="F169" s="10">
        <f t="shared" si="2"/>
        <v>0</v>
      </c>
    </row>
    <row r="170" spans="1:8">
      <c r="A170" s="9">
        <v>1179</v>
      </c>
      <c r="B170" s="9" t="s">
        <v>136</v>
      </c>
      <c r="C170" s="10">
        <v>0</v>
      </c>
      <c r="D170" s="10">
        <v>13</v>
      </c>
      <c r="E170" s="10">
        <v>13</v>
      </c>
      <c r="F170" s="10">
        <f t="shared" si="2"/>
        <v>0</v>
      </c>
    </row>
    <row r="171" spans="1:8">
      <c r="A171" s="9">
        <v>1014</v>
      </c>
      <c r="B171" s="9" t="s">
        <v>135</v>
      </c>
      <c r="C171" s="10">
        <v>10</v>
      </c>
      <c r="D171" s="10">
        <v>0</v>
      </c>
      <c r="E171" s="10">
        <v>10</v>
      </c>
      <c r="F171" s="10">
        <f t="shared" si="2"/>
        <v>0</v>
      </c>
      <c r="G171" s="10">
        <f>SUM(E147:E171)</f>
        <v>1554.3600000000001</v>
      </c>
    </row>
    <row r="172" spans="1:8">
      <c r="A172" s="9">
        <v>899</v>
      </c>
      <c r="B172" s="9" t="s">
        <v>134</v>
      </c>
      <c r="C172" s="10">
        <v>0</v>
      </c>
      <c r="D172" s="10">
        <v>75</v>
      </c>
      <c r="E172" s="10">
        <v>75</v>
      </c>
      <c r="F172" s="10">
        <f t="shared" si="2"/>
        <v>0</v>
      </c>
    </row>
    <row r="173" spans="1:8">
      <c r="A173" s="9">
        <v>1192</v>
      </c>
      <c r="B173" s="9" t="s">
        <v>133</v>
      </c>
      <c r="C173" s="10">
        <v>0</v>
      </c>
      <c r="D173" s="10">
        <v>20</v>
      </c>
      <c r="E173" s="10">
        <v>20</v>
      </c>
      <c r="F173" s="10">
        <f t="shared" si="2"/>
        <v>0</v>
      </c>
    </row>
    <row r="174" spans="1:8">
      <c r="A174" s="9">
        <v>1176</v>
      </c>
      <c r="B174" s="9" t="s">
        <v>132</v>
      </c>
      <c r="C174" s="10">
        <v>0</v>
      </c>
      <c r="D174" s="10">
        <v>10</v>
      </c>
      <c r="E174" s="10">
        <v>10</v>
      </c>
      <c r="F174" s="10">
        <f t="shared" si="2"/>
        <v>0</v>
      </c>
    </row>
    <row r="175" spans="1:8">
      <c r="A175" s="9">
        <v>1137</v>
      </c>
      <c r="B175" s="9" t="s">
        <v>131</v>
      </c>
      <c r="C175" s="10">
        <v>0</v>
      </c>
      <c r="D175" s="10">
        <v>20</v>
      </c>
      <c r="E175" s="10">
        <v>20</v>
      </c>
      <c r="F175" s="10">
        <f t="shared" si="2"/>
        <v>0</v>
      </c>
      <c r="G175" s="10">
        <f>SUM(E172:E175)</f>
        <v>125</v>
      </c>
    </row>
    <row r="176" spans="1:8">
      <c r="A176" s="9">
        <v>253</v>
      </c>
      <c r="B176" s="9" t="s">
        <v>130</v>
      </c>
      <c r="C176" s="10">
        <v>436.7</v>
      </c>
      <c r="D176" s="10">
        <v>-17.059999999999999</v>
      </c>
      <c r="E176" s="10">
        <v>419.64</v>
      </c>
      <c r="F176" s="10">
        <f t="shared" si="2"/>
        <v>0</v>
      </c>
      <c r="H176" s="10"/>
    </row>
    <row r="177" spans="1:8">
      <c r="A177" s="9">
        <v>252</v>
      </c>
      <c r="B177" s="9" t="s">
        <v>129</v>
      </c>
      <c r="C177" s="10">
        <v>802.09</v>
      </c>
      <c r="D177" s="10">
        <v>-469.83</v>
      </c>
      <c r="E177" s="10">
        <v>332.26000000000005</v>
      </c>
      <c r="F177" s="10">
        <f t="shared" si="2"/>
        <v>0</v>
      </c>
      <c r="H177" s="10"/>
    </row>
    <row r="178" spans="1:8">
      <c r="A178" s="9">
        <v>255</v>
      </c>
      <c r="B178" s="9" t="s">
        <v>128</v>
      </c>
      <c r="C178" s="10">
        <v>611.5</v>
      </c>
      <c r="D178" s="10">
        <v>35</v>
      </c>
      <c r="E178" s="10">
        <v>646.5</v>
      </c>
      <c r="F178" s="10">
        <f t="shared" si="2"/>
        <v>0</v>
      </c>
      <c r="H178" s="10"/>
    </row>
    <row r="179" spans="1:8">
      <c r="A179" s="9">
        <v>703</v>
      </c>
      <c r="B179" s="9" t="s">
        <v>127</v>
      </c>
      <c r="C179" s="10">
        <v>1645.8</v>
      </c>
      <c r="D179" s="10">
        <v>-1182.96</v>
      </c>
      <c r="E179" s="10">
        <v>462.83999999999992</v>
      </c>
      <c r="F179" s="10">
        <f t="shared" si="2"/>
        <v>0</v>
      </c>
      <c r="H179" s="10"/>
    </row>
    <row r="180" spans="1:8">
      <c r="A180" s="9">
        <v>256</v>
      </c>
      <c r="B180" s="9" t="s">
        <v>126</v>
      </c>
      <c r="C180" s="10">
        <v>350</v>
      </c>
      <c r="D180" s="10">
        <v>25</v>
      </c>
      <c r="E180" s="10">
        <v>375</v>
      </c>
      <c r="F180" s="10">
        <f t="shared" si="2"/>
        <v>0</v>
      </c>
      <c r="H180" s="10"/>
    </row>
    <row r="181" spans="1:8">
      <c r="A181" s="9">
        <v>257</v>
      </c>
      <c r="B181" s="9" t="s">
        <v>125</v>
      </c>
      <c r="C181" s="10">
        <v>115</v>
      </c>
      <c r="D181" s="10">
        <v>102.05</v>
      </c>
      <c r="E181" s="10">
        <v>217.05</v>
      </c>
      <c r="F181" s="10">
        <f t="shared" si="2"/>
        <v>0</v>
      </c>
      <c r="H181" s="10"/>
    </row>
    <row r="182" spans="1:8">
      <c r="A182" s="9">
        <v>1100</v>
      </c>
      <c r="B182" s="9" t="s">
        <v>124</v>
      </c>
      <c r="C182" s="10">
        <v>415.98</v>
      </c>
      <c r="D182" s="10">
        <v>0</v>
      </c>
      <c r="E182" s="10">
        <v>415.98</v>
      </c>
      <c r="F182" s="10">
        <f t="shared" si="2"/>
        <v>0</v>
      </c>
      <c r="G182" s="10">
        <f>SUM(E176:E182)</f>
        <v>2869.27</v>
      </c>
      <c r="H182" s="10"/>
    </row>
    <row r="183" spans="1:8">
      <c r="A183" s="9">
        <v>89</v>
      </c>
      <c r="B183" s="9" t="s">
        <v>123</v>
      </c>
      <c r="C183" s="10">
        <v>361.52</v>
      </c>
      <c r="D183" s="10">
        <v>-328.56</v>
      </c>
      <c r="E183" s="10">
        <v>32.95999999999998</v>
      </c>
      <c r="F183" s="10">
        <f t="shared" si="2"/>
        <v>0</v>
      </c>
    </row>
    <row r="184" spans="1:8">
      <c r="A184" s="9">
        <v>91</v>
      </c>
      <c r="B184" s="9" t="s">
        <v>122</v>
      </c>
      <c r="C184" s="10">
        <v>40.1</v>
      </c>
      <c r="D184" s="10">
        <v>48.68</v>
      </c>
      <c r="E184" s="10">
        <v>88.78</v>
      </c>
      <c r="F184" s="10">
        <f t="shared" si="2"/>
        <v>0</v>
      </c>
    </row>
    <row r="185" spans="1:8">
      <c r="A185" s="9">
        <v>92</v>
      </c>
      <c r="B185" s="9" t="s">
        <v>121</v>
      </c>
      <c r="C185" s="10">
        <v>1150</v>
      </c>
      <c r="D185" s="10">
        <v>42</v>
      </c>
      <c r="E185" s="10">
        <v>1192</v>
      </c>
      <c r="F185" s="10">
        <f t="shared" si="2"/>
        <v>0</v>
      </c>
    </row>
    <row r="186" spans="1:8">
      <c r="A186" s="9">
        <v>767</v>
      </c>
      <c r="B186" s="9" t="s">
        <v>120</v>
      </c>
      <c r="C186" s="10">
        <v>225</v>
      </c>
      <c r="D186" s="10">
        <v>0</v>
      </c>
      <c r="E186" s="10">
        <v>225</v>
      </c>
      <c r="F186" s="10">
        <f t="shared" si="2"/>
        <v>0</v>
      </c>
    </row>
    <row r="187" spans="1:8">
      <c r="A187" s="9">
        <v>672</v>
      </c>
      <c r="B187" s="9" t="s">
        <v>119</v>
      </c>
      <c r="C187" s="10">
        <v>14.82</v>
      </c>
      <c r="D187" s="10">
        <v>3</v>
      </c>
      <c r="E187" s="10">
        <v>17.82</v>
      </c>
      <c r="F187" s="10">
        <f t="shared" si="2"/>
        <v>0</v>
      </c>
    </row>
    <row r="188" spans="1:8">
      <c r="A188" s="9">
        <v>809</v>
      </c>
      <c r="B188" s="9" t="s">
        <v>118</v>
      </c>
      <c r="C188" s="10">
        <v>0.99000000000000199</v>
      </c>
      <c r="D188" s="10">
        <v>0</v>
      </c>
      <c r="E188" s="10">
        <v>0.99000000000000199</v>
      </c>
      <c r="F188" s="10">
        <f t="shared" si="2"/>
        <v>0</v>
      </c>
    </row>
    <row r="189" spans="1:8">
      <c r="A189" s="9">
        <v>116</v>
      </c>
      <c r="B189" s="9" t="s">
        <v>117</v>
      </c>
      <c r="C189" s="10">
        <v>84.33</v>
      </c>
      <c r="D189" s="10">
        <v>-31.25</v>
      </c>
      <c r="E189" s="10">
        <v>53.08</v>
      </c>
      <c r="F189" s="10">
        <f t="shared" si="2"/>
        <v>0</v>
      </c>
    </row>
    <row r="190" spans="1:8">
      <c r="A190" s="9">
        <v>570</v>
      </c>
      <c r="B190" s="9" t="s">
        <v>116</v>
      </c>
      <c r="C190" s="10">
        <v>192.5</v>
      </c>
      <c r="D190" s="10">
        <v>-185.55</v>
      </c>
      <c r="E190" s="10">
        <v>6.9499999999999886</v>
      </c>
      <c r="F190" s="10">
        <f t="shared" si="2"/>
        <v>0</v>
      </c>
    </row>
    <row r="191" spans="1:8">
      <c r="A191" s="9">
        <v>117</v>
      </c>
      <c r="B191" s="9" t="s">
        <v>115</v>
      </c>
      <c r="C191" s="10">
        <v>431.67</v>
      </c>
      <c r="D191" s="10">
        <v>-413.63</v>
      </c>
      <c r="E191" s="10">
        <v>18.04000000000002</v>
      </c>
      <c r="F191" s="10">
        <f t="shared" si="2"/>
        <v>0</v>
      </c>
    </row>
    <row r="192" spans="1:8">
      <c r="A192" s="9">
        <v>766</v>
      </c>
      <c r="B192" s="9" t="s">
        <v>114</v>
      </c>
      <c r="C192" s="10">
        <v>74.25</v>
      </c>
      <c r="D192" s="10">
        <v>-74.25</v>
      </c>
      <c r="E192" s="10">
        <v>0</v>
      </c>
      <c r="F192" s="10">
        <f t="shared" si="2"/>
        <v>0</v>
      </c>
    </row>
    <row r="193" spans="1:6">
      <c r="A193" s="9">
        <v>776</v>
      </c>
      <c r="B193" s="9" t="s">
        <v>113</v>
      </c>
      <c r="C193" s="10">
        <v>55</v>
      </c>
      <c r="D193" s="10">
        <v>15</v>
      </c>
      <c r="E193" s="10">
        <v>70</v>
      </c>
      <c r="F193" s="10">
        <f t="shared" si="2"/>
        <v>0</v>
      </c>
    </row>
    <row r="194" spans="1:6">
      <c r="A194" s="9">
        <v>48</v>
      </c>
      <c r="B194" s="9" t="s">
        <v>112</v>
      </c>
      <c r="C194" s="10">
        <v>0</v>
      </c>
      <c r="D194" s="10">
        <v>-7.18</v>
      </c>
      <c r="E194" s="10">
        <v>0</v>
      </c>
      <c r="F194" s="10">
        <f t="shared" ref="F194:F257" si="3">IF(C194+D194&lt;0, C194+D194, 0)</f>
        <v>-7.18</v>
      </c>
    </row>
    <row r="195" spans="1:6">
      <c r="A195" s="9">
        <v>53</v>
      </c>
      <c r="B195" s="9" t="s">
        <v>111</v>
      </c>
      <c r="C195" s="10">
        <v>3996.03</v>
      </c>
      <c r="D195" s="10">
        <v>-3096.42</v>
      </c>
      <c r="E195" s="10">
        <v>899.61000000000013</v>
      </c>
      <c r="F195" s="10">
        <f t="shared" si="3"/>
        <v>0</v>
      </c>
    </row>
    <row r="196" spans="1:6">
      <c r="A196" s="9">
        <v>54</v>
      </c>
      <c r="B196" s="9" t="s">
        <v>110</v>
      </c>
      <c r="C196" s="10">
        <v>5782.05</v>
      </c>
      <c r="D196" s="10">
        <v>-5119.7</v>
      </c>
      <c r="E196" s="10">
        <v>662.35000000000036</v>
      </c>
      <c r="F196" s="10">
        <f t="shared" si="3"/>
        <v>0</v>
      </c>
    </row>
    <row r="197" spans="1:6">
      <c r="A197" s="9">
        <v>58</v>
      </c>
      <c r="B197" s="9" t="s">
        <v>109</v>
      </c>
      <c r="C197" s="10">
        <v>2106.61</v>
      </c>
      <c r="D197" s="10">
        <v>-2437.06</v>
      </c>
      <c r="E197" s="10">
        <v>0</v>
      </c>
      <c r="F197" s="10">
        <f t="shared" si="3"/>
        <v>-330.44999999999982</v>
      </c>
    </row>
    <row r="198" spans="1:6">
      <c r="A198" s="9">
        <v>60</v>
      </c>
      <c r="B198" s="9" t="s">
        <v>108</v>
      </c>
      <c r="C198" s="10">
        <v>14005.29</v>
      </c>
      <c r="D198" s="10">
        <v>-13688.11</v>
      </c>
      <c r="E198" s="10">
        <v>317.18000000000029</v>
      </c>
      <c r="F198" s="10">
        <f t="shared" si="3"/>
        <v>0</v>
      </c>
    </row>
    <row r="199" spans="1:6">
      <c r="A199" s="9">
        <v>68</v>
      </c>
      <c r="B199" s="9" t="s">
        <v>107</v>
      </c>
      <c r="C199" s="10">
        <v>3675.61</v>
      </c>
      <c r="D199" s="10">
        <v>-4443.47</v>
      </c>
      <c r="E199" s="10">
        <v>0</v>
      </c>
      <c r="F199" s="10">
        <f t="shared" si="3"/>
        <v>-767.86000000000013</v>
      </c>
    </row>
    <row r="200" spans="1:6">
      <c r="A200" s="9">
        <v>910</v>
      </c>
      <c r="B200" s="9" t="s">
        <v>106</v>
      </c>
      <c r="C200" s="10">
        <v>1125.81</v>
      </c>
      <c r="D200" s="10">
        <v>-471.53</v>
      </c>
      <c r="E200" s="10">
        <v>654.28</v>
      </c>
      <c r="F200" s="10">
        <f t="shared" si="3"/>
        <v>0</v>
      </c>
    </row>
    <row r="201" spans="1:6">
      <c r="A201" s="9">
        <v>57</v>
      </c>
      <c r="B201" s="9" t="s">
        <v>105</v>
      </c>
      <c r="C201" s="10">
        <v>8.25</v>
      </c>
      <c r="D201" s="10">
        <v>0</v>
      </c>
      <c r="E201" s="10">
        <v>8.25</v>
      </c>
      <c r="F201" s="10">
        <f t="shared" si="3"/>
        <v>0</v>
      </c>
    </row>
    <row r="202" spans="1:6">
      <c r="A202" s="9">
        <v>64</v>
      </c>
      <c r="B202" s="9" t="s">
        <v>104</v>
      </c>
      <c r="C202" s="10">
        <v>2161.39</v>
      </c>
      <c r="D202" s="10">
        <v>-1831.9</v>
      </c>
      <c r="E202" s="10">
        <v>329.48999999999978</v>
      </c>
      <c r="F202" s="10">
        <f t="shared" si="3"/>
        <v>0</v>
      </c>
    </row>
    <row r="203" spans="1:6">
      <c r="A203" s="9">
        <v>65</v>
      </c>
      <c r="B203" s="9" t="s">
        <v>103</v>
      </c>
      <c r="C203" s="10">
        <v>1822.41</v>
      </c>
      <c r="D203" s="10">
        <v>-1016.26</v>
      </c>
      <c r="E203" s="10">
        <v>806.15000000000009</v>
      </c>
      <c r="F203" s="10">
        <f t="shared" si="3"/>
        <v>0</v>
      </c>
    </row>
    <row r="204" spans="1:6">
      <c r="A204" s="9">
        <v>72</v>
      </c>
      <c r="B204" s="9" t="s">
        <v>102</v>
      </c>
      <c r="C204" s="10">
        <v>9353.23</v>
      </c>
      <c r="D204" s="10">
        <v>-7271.82</v>
      </c>
      <c r="E204" s="10">
        <v>2081.41</v>
      </c>
      <c r="F204" s="10">
        <f t="shared" si="3"/>
        <v>0</v>
      </c>
    </row>
    <row r="205" spans="1:6">
      <c r="A205" s="9">
        <v>51</v>
      </c>
      <c r="B205" s="9" t="s">
        <v>101</v>
      </c>
      <c r="C205" s="10">
        <v>201.58</v>
      </c>
      <c r="D205" s="10">
        <v>-73.63</v>
      </c>
      <c r="E205" s="10">
        <v>127.95000000000002</v>
      </c>
      <c r="F205" s="10">
        <f t="shared" si="3"/>
        <v>0</v>
      </c>
    </row>
    <row r="206" spans="1:6">
      <c r="A206" s="9">
        <v>1006</v>
      </c>
      <c r="B206" s="9" t="s">
        <v>100</v>
      </c>
      <c r="C206" s="10">
        <v>0</v>
      </c>
      <c r="D206" s="10">
        <v>305</v>
      </c>
      <c r="E206" s="10">
        <v>305</v>
      </c>
      <c r="F206" s="10">
        <f t="shared" si="3"/>
        <v>0</v>
      </c>
    </row>
    <row r="207" spans="1:6">
      <c r="A207" s="9">
        <v>63</v>
      </c>
      <c r="B207" s="9" t="s">
        <v>99</v>
      </c>
      <c r="C207" s="10">
        <v>32.18</v>
      </c>
      <c r="D207" s="10">
        <v>30</v>
      </c>
      <c r="E207" s="10">
        <v>62.18</v>
      </c>
      <c r="F207" s="10">
        <f t="shared" si="3"/>
        <v>0</v>
      </c>
    </row>
    <row r="208" spans="1:6">
      <c r="A208" s="9">
        <v>761</v>
      </c>
      <c r="B208" s="9" t="s">
        <v>98</v>
      </c>
      <c r="C208" s="10">
        <v>0</v>
      </c>
      <c r="D208" s="10">
        <v>30</v>
      </c>
      <c r="E208" s="10">
        <v>30</v>
      </c>
      <c r="F208" s="10">
        <f t="shared" si="3"/>
        <v>0</v>
      </c>
    </row>
    <row r="209" spans="1:7">
      <c r="A209" s="9">
        <v>358</v>
      </c>
      <c r="B209" s="9" t="s">
        <v>97</v>
      </c>
      <c r="C209" s="10">
        <v>0</v>
      </c>
      <c r="D209" s="10">
        <v>-27.43</v>
      </c>
      <c r="E209" s="10">
        <v>0</v>
      </c>
      <c r="F209" s="10">
        <f t="shared" si="3"/>
        <v>-27.43</v>
      </c>
    </row>
    <row r="210" spans="1:7">
      <c r="A210" s="9">
        <v>85</v>
      </c>
      <c r="B210" s="9" t="s">
        <v>96</v>
      </c>
      <c r="C210" s="10">
        <v>51.28</v>
      </c>
      <c r="D210" s="10">
        <v>0</v>
      </c>
      <c r="E210" s="10">
        <v>51.28</v>
      </c>
      <c r="F210" s="10">
        <f t="shared" si="3"/>
        <v>0</v>
      </c>
    </row>
    <row r="211" spans="1:7">
      <c r="A211" s="9">
        <v>939</v>
      </c>
      <c r="B211" s="9" t="s">
        <v>95</v>
      </c>
      <c r="C211" s="10">
        <v>96.25</v>
      </c>
      <c r="D211" s="10">
        <v>-96.25</v>
      </c>
      <c r="E211" s="10">
        <v>0</v>
      </c>
      <c r="F211" s="10">
        <f t="shared" si="3"/>
        <v>0</v>
      </c>
    </row>
    <row r="212" spans="1:7">
      <c r="A212" s="9">
        <v>55</v>
      </c>
      <c r="B212" s="9" t="s">
        <v>94</v>
      </c>
      <c r="C212" s="10">
        <v>187.55</v>
      </c>
      <c r="D212" s="10">
        <v>-171.72</v>
      </c>
      <c r="E212" s="10">
        <v>15.830000000000013</v>
      </c>
      <c r="F212" s="10">
        <f t="shared" si="3"/>
        <v>0</v>
      </c>
    </row>
    <row r="213" spans="1:7">
      <c r="A213" s="9">
        <v>52</v>
      </c>
      <c r="B213" s="9" t="s">
        <v>93</v>
      </c>
      <c r="C213" s="10">
        <v>20.67</v>
      </c>
      <c r="D213" s="10">
        <v>0</v>
      </c>
      <c r="E213" s="10">
        <v>20.67</v>
      </c>
      <c r="F213" s="10">
        <f t="shared" si="3"/>
        <v>0</v>
      </c>
    </row>
    <row r="214" spans="1:7">
      <c r="A214" s="9">
        <v>76</v>
      </c>
      <c r="B214" s="9" t="s">
        <v>92</v>
      </c>
      <c r="C214" s="10">
        <v>2409.0100000000002</v>
      </c>
      <c r="D214" s="10">
        <v>-2359.0100000000002</v>
      </c>
      <c r="E214" s="10">
        <v>50</v>
      </c>
      <c r="F214" s="10">
        <f t="shared" si="3"/>
        <v>0</v>
      </c>
    </row>
    <row r="215" spans="1:7">
      <c r="A215" s="9">
        <v>70</v>
      </c>
      <c r="B215" s="9" t="s">
        <v>91</v>
      </c>
      <c r="C215" s="10">
        <v>895.46</v>
      </c>
      <c r="D215" s="10">
        <v>-361.46</v>
      </c>
      <c r="E215" s="10">
        <v>534</v>
      </c>
      <c r="F215" s="10">
        <f t="shared" si="3"/>
        <v>0</v>
      </c>
    </row>
    <row r="216" spans="1:7">
      <c r="A216" s="9">
        <v>50</v>
      </c>
      <c r="B216" s="9" t="s">
        <v>90</v>
      </c>
      <c r="C216" s="10">
        <v>1.65</v>
      </c>
      <c r="D216" s="10">
        <v>70</v>
      </c>
      <c r="E216" s="10">
        <v>71.650000000000006</v>
      </c>
      <c r="F216" s="10">
        <f t="shared" si="3"/>
        <v>0</v>
      </c>
    </row>
    <row r="217" spans="1:7">
      <c r="A217" s="9">
        <v>74</v>
      </c>
      <c r="B217" s="9" t="s">
        <v>89</v>
      </c>
      <c r="C217" s="10">
        <v>38.5</v>
      </c>
      <c r="D217" s="10">
        <v>15</v>
      </c>
      <c r="E217" s="10">
        <v>53.5</v>
      </c>
      <c r="F217" s="10">
        <f t="shared" si="3"/>
        <v>0</v>
      </c>
    </row>
    <row r="218" spans="1:7">
      <c r="A218" s="9">
        <v>262</v>
      </c>
      <c r="B218" s="9" t="s">
        <v>88</v>
      </c>
      <c r="C218" s="10">
        <v>3195.61</v>
      </c>
      <c r="D218" s="10">
        <v>-1947.36</v>
      </c>
      <c r="E218" s="10">
        <v>1248.2500000000002</v>
      </c>
      <c r="F218" s="10">
        <f t="shared" si="3"/>
        <v>0</v>
      </c>
    </row>
    <row r="219" spans="1:7">
      <c r="A219" s="9">
        <v>267</v>
      </c>
      <c r="B219" s="9" t="s">
        <v>87</v>
      </c>
      <c r="C219" s="10">
        <v>1191.31</v>
      </c>
      <c r="D219" s="10">
        <v>-617.84</v>
      </c>
      <c r="E219" s="10">
        <v>573.46999999999991</v>
      </c>
      <c r="F219" s="10">
        <f t="shared" si="3"/>
        <v>0</v>
      </c>
    </row>
    <row r="220" spans="1:7">
      <c r="A220" s="9">
        <v>242</v>
      </c>
      <c r="B220" s="9" t="s">
        <v>86</v>
      </c>
      <c r="C220" s="10">
        <v>3828</v>
      </c>
      <c r="D220" s="10">
        <v>-3756.04</v>
      </c>
      <c r="E220" s="10">
        <v>71.960000000000036</v>
      </c>
      <c r="F220" s="10">
        <f t="shared" si="3"/>
        <v>0</v>
      </c>
      <c r="G220" s="10">
        <f>SUM(E183:E220)</f>
        <v>10680.079999999998</v>
      </c>
    </row>
    <row r="221" spans="1:7">
      <c r="A221" s="9">
        <v>1066</v>
      </c>
      <c r="B221" s="9" t="s">
        <v>85</v>
      </c>
      <c r="C221" s="10">
        <v>474.94</v>
      </c>
      <c r="D221" s="10">
        <v>30</v>
      </c>
      <c r="E221" s="10">
        <v>504.94</v>
      </c>
      <c r="F221" s="10">
        <f t="shared" si="3"/>
        <v>0</v>
      </c>
    </row>
    <row r="222" spans="1:7">
      <c r="A222" s="9">
        <v>264</v>
      </c>
      <c r="B222" s="9" t="s">
        <v>84</v>
      </c>
      <c r="C222" s="10">
        <v>1129.26</v>
      </c>
      <c r="D222" s="10">
        <v>-671.17</v>
      </c>
      <c r="E222" s="10">
        <v>458.09000000000003</v>
      </c>
      <c r="F222" s="10">
        <f t="shared" si="3"/>
        <v>0</v>
      </c>
    </row>
    <row r="223" spans="1:7">
      <c r="A223" s="9">
        <v>270</v>
      </c>
      <c r="B223" s="9" t="s">
        <v>83</v>
      </c>
      <c r="C223" s="10">
        <v>687.23</v>
      </c>
      <c r="D223" s="10">
        <v>-628.6</v>
      </c>
      <c r="E223" s="10">
        <v>58.629999999999995</v>
      </c>
      <c r="F223" s="10">
        <f t="shared" si="3"/>
        <v>0</v>
      </c>
    </row>
    <row r="224" spans="1:7">
      <c r="A224" s="9">
        <v>266</v>
      </c>
      <c r="B224" s="9" t="s">
        <v>82</v>
      </c>
      <c r="C224" s="10">
        <v>1271.74</v>
      </c>
      <c r="D224" s="10">
        <v>-38.46</v>
      </c>
      <c r="E224" s="10">
        <v>1233.28</v>
      </c>
      <c r="F224" s="10">
        <f t="shared" si="3"/>
        <v>0</v>
      </c>
    </row>
    <row r="225" spans="1:7">
      <c r="A225" s="9">
        <v>765</v>
      </c>
      <c r="B225" s="9" t="s">
        <v>81</v>
      </c>
      <c r="C225" s="10">
        <v>55</v>
      </c>
      <c r="D225" s="10">
        <v>269.18</v>
      </c>
      <c r="E225" s="10">
        <v>324.18</v>
      </c>
      <c r="F225" s="10">
        <f t="shared" si="3"/>
        <v>0</v>
      </c>
    </row>
    <row r="226" spans="1:7">
      <c r="A226" s="9">
        <v>271</v>
      </c>
      <c r="B226" s="9" t="s">
        <v>80</v>
      </c>
      <c r="C226" s="10">
        <v>1442.61</v>
      </c>
      <c r="D226" s="10">
        <v>-359</v>
      </c>
      <c r="E226" s="10">
        <v>1083.6099999999999</v>
      </c>
      <c r="F226" s="10">
        <f t="shared" si="3"/>
        <v>0</v>
      </c>
    </row>
    <row r="227" spans="1:7">
      <c r="A227" s="9">
        <v>265</v>
      </c>
      <c r="B227" s="9" t="s">
        <v>79</v>
      </c>
      <c r="C227" s="10">
        <v>441.75</v>
      </c>
      <c r="D227" s="10">
        <v>-278.64999999999998</v>
      </c>
      <c r="E227" s="10">
        <v>163.10000000000002</v>
      </c>
      <c r="F227" s="10">
        <f t="shared" si="3"/>
        <v>0</v>
      </c>
    </row>
    <row r="228" spans="1:7">
      <c r="A228" s="9">
        <v>1039</v>
      </c>
      <c r="B228" s="9" t="s">
        <v>78</v>
      </c>
      <c r="C228" s="10">
        <v>193.17</v>
      </c>
      <c r="D228" s="10">
        <v>-162.80000000000001</v>
      </c>
      <c r="E228" s="10">
        <v>30.369999999999976</v>
      </c>
      <c r="F228" s="10">
        <f t="shared" si="3"/>
        <v>0</v>
      </c>
    </row>
    <row r="229" spans="1:7">
      <c r="A229" s="9">
        <v>269</v>
      </c>
      <c r="B229" s="9" t="s">
        <v>77</v>
      </c>
      <c r="C229" s="10">
        <v>16.5</v>
      </c>
      <c r="D229" s="10">
        <v>30</v>
      </c>
      <c r="E229" s="10">
        <v>46.5</v>
      </c>
      <c r="F229" s="10">
        <f t="shared" si="3"/>
        <v>0</v>
      </c>
      <c r="G229" s="10">
        <f>SUM(E221:E229)</f>
        <v>3902.6999999999994</v>
      </c>
    </row>
    <row r="230" spans="1:7">
      <c r="A230" s="9">
        <v>208</v>
      </c>
      <c r="B230" s="9" t="s">
        <v>76</v>
      </c>
      <c r="C230" s="10">
        <v>1749.75</v>
      </c>
      <c r="D230" s="10">
        <v>-1468.69</v>
      </c>
      <c r="E230" s="10">
        <v>281.05999999999995</v>
      </c>
      <c r="F230" s="10">
        <f t="shared" si="3"/>
        <v>0</v>
      </c>
      <c r="G230" s="10">
        <f>E230</f>
        <v>281.05999999999995</v>
      </c>
    </row>
    <row r="231" spans="1:7">
      <c r="A231" s="9">
        <v>19</v>
      </c>
      <c r="B231" s="9" t="s">
        <v>75</v>
      </c>
      <c r="C231" s="10">
        <v>3184.5</v>
      </c>
      <c r="D231" s="10">
        <v>-3404.5</v>
      </c>
      <c r="E231" s="10">
        <v>0</v>
      </c>
      <c r="F231" s="10">
        <f t="shared" si="3"/>
        <v>-220</v>
      </c>
    </row>
    <row r="232" spans="1:7">
      <c r="A232" s="9">
        <v>31</v>
      </c>
      <c r="B232" s="9" t="s">
        <v>74</v>
      </c>
      <c r="C232" s="10">
        <v>6169.28</v>
      </c>
      <c r="D232" s="10">
        <v>-6179.25</v>
      </c>
      <c r="E232" s="10">
        <v>0</v>
      </c>
      <c r="F232" s="10">
        <f t="shared" si="3"/>
        <v>-9.9700000000002547</v>
      </c>
    </row>
    <row r="233" spans="1:7">
      <c r="A233" s="9">
        <v>5</v>
      </c>
      <c r="B233" s="9" t="s">
        <v>73</v>
      </c>
      <c r="C233" s="10">
        <v>8021.48</v>
      </c>
      <c r="D233" s="10">
        <v>-5538.66</v>
      </c>
      <c r="E233" s="10">
        <v>2482.8199999999997</v>
      </c>
      <c r="F233" s="10">
        <f t="shared" si="3"/>
        <v>0</v>
      </c>
    </row>
    <row r="234" spans="1:7">
      <c r="A234" s="9">
        <v>667</v>
      </c>
      <c r="B234" s="9" t="s">
        <v>72</v>
      </c>
      <c r="C234" s="10">
        <v>2538.25</v>
      </c>
      <c r="D234" s="10">
        <v>-2411.59</v>
      </c>
      <c r="E234" s="10">
        <v>126.65999999999985</v>
      </c>
      <c r="F234" s="10">
        <f t="shared" si="3"/>
        <v>0</v>
      </c>
    </row>
    <row r="235" spans="1:7">
      <c r="A235" s="9">
        <v>775</v>
      </c>
      <c r="B235" s="9" t="s">
        <v>71</v>
      </c>
      <c r="C235" s="10">
        <v>1159.1300000000001</v>
      </c>
      <c r="D235" s="10">
        <v>-1149.1300000000001</v>
      </c>
      <c r="E235" s="10">
        <v>10</v>
      </c>
      <c r="F235" s="10">
        <f t="shared" si="3"/>
        <v>0</v>
      </c>
    </row>
    <row r="236" spans="1:7">
      <c r="A236" s="9">
        <v>782</v>
      </c>
      <c r="B236" s="9" t="s">
        <v>70</v>
      </c>
      <c r="C236" s="10">
        <v>529.98</v>
      </c>
      <c r="D236" s="10">
        <v>-526</v>
      </c>
      <c r="E236" s="10">
        <v>3.9800000000000182</v>
      </c>
      <c r="F236" s="10">
        <f t="shared" si="3"/>
        <v>0</v>
      </c>
    </row>
    <row r="237" spans="1:7">
      <c r="A237" s="9">
        <v>738</v>
      </c>
      <c r="B237" s="9" t="s">
        <v>69</v>
      </c>
      <c r="C237" s="10">
        <v>2813.81</v>
      </c>
      <c r="D237" s="10">
        <v>-1098.2</v>
      </c>
      <c r="E237" s="10">
        <v>1715.61</v>
      </c>
      <c r="F237" s="10">
        <f t="shared" si="3"/>
        <v>0</v>
      </c>
    </row>
    <row r="238" spans="1:7">
      <c r="A238" s="9">
        <v>79</v>
      </c>
      <c r="B238" s="9" t="s">
        <v>68</v>
      </c>
      <c r="C238" s="10">
        <v>6621.86</v>
      </c>
      <c r="D238" s="10">
        <v>-6236.86</v>
      </c>
      <c r="E238" s="10">
        <v>385</v>
      </c>
      <c r="F238" s="10">
        <f t="shared" si="3"/>
        <v>0</v>
      </c>
    </row>
    <row r="239" spans="1:7">
      <c r="A239" s="9">
        <v>27</v>
      </c>
      <c r="B239" s="9" t="s">
        <v>67</v>
      </c>
      <c r="C239" s="10">
        <v>2281.77</v>
      </c>
      <c r="D239" s="10">
        <v>-1090.19</v>
      </c>
      <c r="E239" s="10">
        <v>1191.58</v>
      </c>
      <c r="F239" s="10">
        <f t="shared" si="3"/>
        <v>0</v>
      </c>
    </row>
    <row r="240" spans="1:7">
      <c r="A240" s="9">
        <v>28</v>
      </c>
      <c r="B240" s="9" t="s">
        <v>66</v>
      </c>
      <c r="C240" s="10">
        <v>10505.21</v>
      </c>
      <c r="D240" s="10">
        <v>-10483.99</v>
      </c>
      <c r="E240" s="10">
        <v>21.219999999999345</v>
      </c>
      <c r="F240" s="10">
        <f t="shared" si="3"/>
        <v>0</v>
      </c>
    </row>
    <row r="241" spans="1:6">
      <c r="A241" s="9">
        <v>726</v>
      </c>
      <c r="B241" s="9" t="s">
        <v>65</v>
      </c>
      <c r="C241" s="10">
        <v>1624.59</v>
      </c>
      <c r="D241" s="10">
        <v>26.9</v>
      </c>
      <c r="E241" s="10">
        <v>1651.49</v>
      </c>
      <c r="F241" s="10">
        <f t="shared" si="3"/>
        <v>0</v>
      </c>
    </row>
    <row r="242" spans="1:6">
      <c r="A242" s="9">
        <v>13</v>
      </c>
      <c r="B242" s="9" t="s">
        <v>64</v>
      </c>
      <c r="C242" s="10">
        <v>11661.66</v>
      </c>
      <c r="D242" s="10">
        <v>-11086.38</v>
      </c>
      <c r="E242" s="10">
        <v>575.28000000000065</v>
      </c>
      <c r="F242" s="10">
        <f t="shared" si="3"/>
        <v>0</v>
      </c>
    </row>
    <row r="243" spans="1:6">
      <c r="A243" s="9">
        <v>22</v>
      </c>
      <c r="B243" s="9" t="s">
        <v>63</v>
      </c>
      <c r="C243" s="10">
        <v>7913.98</v>
      </c>
      <c r="D243" s="10">
        <v>-7430.69</v>
      </c>
      <c r="E243" s="10">
        <v>483.28999999999996</v>
      </c>
      <c r="F243" s="10">
        <f t="shared" si="3"/>
        <v>0</v>
      </c>
    </row>
    <row r="244" spans="1:6">
      <c r="A244" s="9">
        <v>24</v>
      </c>
      <c r="B244" s="9" t="s">
        <v>62</v>
      </c>
      <c r="C244" s="10">
        <v>1835.84</v>
      </c>
      <c r="D244" s="10">
        <v>-1835.84</v>
      </c>
      <c r="E244" s="10">
        <v>0</v>
      </c>
      <c r="F244" s="10">
        <f t="shared" si="3"/>
        <v>0</v>
      </c>
    </row>
    <row r="245" spans="1:6">
      <c r="A245" s="9">
        <v>23</v>
      </c>
      <c r="B245" s="9" t="s">
        <v>61</v>
      </c>
      <c r="C245" s="10">
        <v>1977.59</v>
      </c>
      <c r="D245" s="10">
        <v>-1977.59</v>
      </c>
      <c r="E245" s="10">
        <v>0</v>
      </c>
      <c r="F245" s="10">
        <f t="shared" si="3"/>
        <v>0</v>
      </c>
    </row>
    <row r="246" spans="1:6">
      <c r="A246" s="9">
        <v>737</v>
      </c>
      <c r="B246" s="9" t="s">
        <v>60</v>
      </c>
      <c r="C246" s="10">
        <v>2734.79</v>
      </c>
      <c r="D246" s="10">
        <v>-2079.79</v>
      </c>
      <c r="E246" s="10">
        <v>655</v>
      </c>
      <c r="F246" s="10">
        <f t="shared" si="3"/>
        <v>0</v>
      </c>
    </row>
    <row r="247" spans="1:6">
      <c r="A247" s="9">
        <v>801</v>
      </c>
      <c r="B247" s="9" t="s">
        <v>59</v>
      </c>
      <c r="C247" s="10">
        <v>1022.68</v>
      </c>
      <c r="D247" s="10">
        <v>-997.39</v>
      </c>
      <c r="E247" s="10">
        <v>25.289999999999964</v>
      </c>
      <c r="F247" s="10">
        <f t="shared" si="3"/>
        <v>0</v>
      </c>
    </row>
    <row r="248" spans="1:6">
      <c r="A248" s="9">
        <v>8</v>
      </c>
      <c r="B248" s="9" t="s">
        <v>58</v>
      </c>
      <c r="C248" s="10">
        <v>1536.3</v>
      </c>
      <c r="D248" s="10">
        <v>-1197.8699999999999</v>
      </c>
      <c r="E248" s="10">
        <v>338.43000000000006</v>
      </c>
      <c r="F248" s="10">
        <f t="shared" si="3"/>
        <v>0</v>
      </c>
    </row>
    <row r="249" spans="1:6">
      <c r="A249" s="9">
        <v>2</v>
      </c>
      <c r="B249" s="9" t="s">
        <v>57</v>
      </c>
      <c r="C249" s="10">
        <v>10534.98</v>
      </c>
      <c r="D249" s="10">
        <v>-9225.56</v>
      </c>
      <c r="E249" s="10">
        <v>1309.42</v>
      </c>
      <c r="F249" s="10">
        <f t="shared" si="3"/>
        <v>0</v>
      </c>
    </row>
    <row r="250" spans="1:6">
      <c r="A250" s="9">
        <v>763</v>
      </c>
      <c r="B250" s="9" t="s">
        <v>56</v>
      </c>
      <c r="C250" s="10">
        <v>1</v>
      </c>
      <c r="D250" s="10">
        <v>30</v>
      </c>
      <c r="E250" s="10">
        <v>31</v>
      </c>
      <c r="F250" s="10">
        <f t="shared" si="3"/>
        <v>0</v>
      </c>
    </row>
    <row r="251" spans="1:6">
      <c r="A251" s="9">
        <v>35</v>
      </c>
      <c r="B251" s="9" t="s">
        <v>55</v>
      </c>
      <c r="C251" s="10">
        <v>2738.56</v>
      </c>
      <c r="D251" s="10">
        <v>-2712.88</v>
      </c>
      <c r="E251" s="10">
        <v>25.679999999999836</v>
      </c>
      <c r="F251" s="10">
        <f t="shared" si="3"/>
        <v>0</v>
      </c>
    </row>
    <row r="252" spans="1:6">
      <c r="A252" s="9">
        <v>3</v>
      </c>
      <c r="B252" s="9" t="s">
        <v>54</v>
      </c>
      <c r="C252" s="10">
        <v>1047.28</v>
      </c>
      <c r="D252" s="10">
        <v>-1047.28</v>
      </c>
      <c r="E252" s="10">
        <v>0</v>
      </c>
      <c r="F252" s="10">
        <f t="shared" si="3"/>
        <v>0</v>
      </c>
    </row>
    <row r="253" spans="1:6">
      <c r="A253" s="9">
        <v>34</v>
      </c>
      <c r="B253" s="9" t="s">
        <v>53</v>
      </c>
      <c r="C253" s="10">
        <v>0</v>
      </c>
      <c r="D253" s="10">
        <v>30</v>
      </c>
      <c r="E253" s="10">
        <v>30</v>
      </c>
      <c r="F253" s="10">
        <f t="shared" si="3"/>
        <v>0</v>
      </c>
    </row>
    <row r="254" spans="1:6">
      <c r="A254" s="9">
        <v>12</v>
      </c>
      <c r="B254" s="9" t="s">
        <v>52</v>
      </c>
      <c r="C254" s="10">
        <v>2930.95</v>
      </c>
      <c r="D254" s="10">
        <v>-2930.95</v>
      </c>
      <c r="E254" s="10">
        <v>0</v>
      </c>
      <c r="F254" s="10">
        <f t="shared" si="3"/>
        <v>0</v>
      </c>
    </row>
    <row r="255" spans="1:6">
      <c r="A255" s="9">
        <v>18</v>
      </c>
      <c r="B255" s="9" t="s">
        <v>51</v>
      </c>
      <c r="C255" s="10">
        <v>6298.91</v>
      </c>
      <c r="D255" s="10">
        <v>-6147.02</v>
      </c>
      <c r="E255" s="10">
        <v>151.88999999999942</v>
      </c>
      <c r="F255" s="10">
        <f t="shared" si="3"/>
        <v>0</v>
      </c>
    </row>
    <row r="256" spans="1:6">
      <c r="A256" s="9">
        <v>29</v>
      </c>
      <c r="B256" s="9" t="s">
        <v>50</v>
      </c>
      <c r="C256" s="10">
        <v>297.17</v>
      </c>
      <c r="D256" s="10">
        <v>-288.64999999999998</v>
      </c>
      <c r="E256" s="10">
        <v>8.5200000000000387</v>
      </c>
      <c r="F256" s="10">
        <f t="shared" si="3"/>
        <v>0</v>
      </c>
    </row>
    <row r="257" spans="1:6">
      <c r="A257" s="9">
        <v>43</v>
      </c>
      <c r="B257" s="9" t="s">
        <v>49</v>
      </c>
      <c r="C257" s="10">
        <v>2901.37</v>
      </c>
      <c r="D257" s="10">
        <v>-1696.05</v>
      </c>
      <c r="E257" s="10">
        <v>1205.32</v>
      </c>
      <c r="F257" s="10">
        <f t="shared" si="3"/>
        <v>0</v>
      </c>
    </row>
    <row r="258" spans="1:6">
      <c r="A258" s="9">
        <v>4</v>
      </c>
      <c r="B258" s="9" t="s">
        <v>48</v>
      </c>
      <c r="C258" s="10">
        <v>4939.87</v>
      </c>
      <c r="D258" s="10">
        <v>-4939.87</v>
      </c>
      <c r="E258" s="10">
        <v>0</v>
      </c>
      <c r="F258" s="10">
        <f t="shared" ref="F258:F286" si="4">IF(C258+D258&lt;0, C258+D258, 0)</f>
        <v>0</v>
      </c>
    </row>
    <row r="259" spans="1:6">
      <c r="A259" s="9">
        <v>1130</v>
      </c>
      <c r="B259" s="9" t="s">
        <v>47</v>
      </c>
      <c r="C259" s="10">
        <v>480</v>
      </c>
      <c r="D259" s="10">
        <v>-480</v>
      </c>
      <c r="E259" s="10">
        <v>0</v>
      </c>
      <c r="F259" s="10">
        <f t="shared" si="4"/>
        <v>0</v>
      </c>
    </row>
    <row r="260" spans="1:6">
      <c r="A260" s="9">
        <v>7</v>
      </c>
      <c r="B260" s="9" t="s">
        <v>46</v>
      </c>
      <c r="C260" s="10">
        <v>9239.8799999999992</v>
      </c>
      <c r="D260" s="10">
        <v>-9462.8799999999992</v>
      </c>
      <c r="E260" s="10">
        <v>0</v>
      </c>
      <c r="F260" s="10">
        <f t="shared" si="4"/>
        <v>-223</v>
      </c>
    </row>
    <row r="261" spans="1:6">
      <c r="A261" s="9">
        <v>9</v>
      </c>
      <c r="B261" s="9" t="s">
        <v>45</v>
      </c>
      <c r="C261" s="10">
        <v>5123.32</v>
      </c>
      <c r="D261" s="10">
        <v>-4971.99</v>
      </c>
      <c r="E261" s="10">
        <v>151.32999999999993</v>
      </c>
      <c r="F261" s="10">
        <f t="shared" si="4"/>
        <v>0</v>
      </c>
    </row>
    <row r="262" spans="1:6">
      <c r="A262" s="9">
        <v>10</v>
      </c>
      <c r="B262" s="9" t="s">
        <v>44</v>
      </c>
      <c r="C262" s="10">
        <v>865.32</v>
      </c>
      <c r="D262" s="10">
        <v>-780.42</v>
      </c>
      <c r="E262" s="10">
        <v>84.900000000000091</v>
      </c>
      <c r="F262" s="10">
        <f t="shared" si="4"/>
        <v>0</v>
      </c>
    </row>
    <row r="263" spans="1:6">
      <c r="A263" s="9">
        <v>11</v>
      </c>
      <c r="B263" s="9" t="s">
        <v>43</v>
      </c>
      <c r="C263" s="10">
        <v>4744.51</v>
      </c>
      <c r="D263" s="10">
        <v>-4721.51</v>
      </c>
      <c r="E263" s="10">
        <v>23</v>
      </c>
      <c r="F263" s="10">
        <f t="shared" si="4"/>
        <v>0</v>
      </c>
    </row>
    <row r="264" spans="1:6">
      <c r="A264" s="9">
        <v>733</v>
      </c>
      <c r="B264" s="9" t="s">
        <v>42</v>
      </c>
      <c r="C264" s="10">
        <v>150</v>
      </c>
      <c r="D264" s="10">
        <v>-150</v>
      </c>
      <c r="E264" s="10">
        <v>0</v>
      </c>
      <c r="F264" s="10">
        <f t="shared" si="4"/>
        <v>0</v>
      </c>
    </row>
    <row r="265" spans="1:6">
      <c r="A265" s="9">
        <v>904</v>
      </c>
      <c r="B265" s="9" t="s">
        <v>41</v>
      </c>
      <c r="C265" s="10">
        <v>2292.5</v>
      </c>
      <c r="D265" s="10">
        <v>-2292.5</v>
      </c>
      <c r="E265" s="10">
        <v>0</v>
      </c>
      <c r="F265" s="10">
        <f t="shared" si="4"/>
        <v>0</v>
      </c>
    </row>
    <row r="266" spans="1:6">
      <c r="A266" s="9">
        <v>39</v>
      </c>
      <c r="B266" s="9" t="s">
        <v>40</v>
      </c>
      <c r="C266" s="10">
        <v>6437.24</v>
      </c>
      <c r="D266" s="10">
        <v>-6437.24</v>
      </c>
      <c r="E266" s="10">
        <v>0</v>
      </c>
      <c r="F266" s="10">
        <f t="shared" si="4"/>
        <v>0</v>
      </c>
    </row>
    <row r="267" spans="1:6">
      <c r="A267" s="9">
        <v>21</v>
      </c>
      <c r="B267" s="9" t="s">
        <v>39</v>
      </c>
      <c r="C267" s="10">
        <v>4990.3599999999997</v>
      </c>
      <c r="D267" s="10">
        <v>-4990.3599999999997</v>
      </c>
      <c r="E267" s="10">
        <v>0</v>
      </c>
      <c r="F267" s="10">
        <f t="shared" si="4"/>
        <v>0</v>
      </c>
    </row>
    <row r="268" spans="1:6">
      <c r="A268" s="9">
        <v>26</v>
      </c>
      <c r="B268" s="9" t="s">
        <v>38</v>
      </c>
      <c r="C268" s="10">
        <v>5843.87</v>
      </c>
      <c r="D268" s="10">
        <v>-3721.26</v>
      </c>
      <c r="E268" s="10">
        <v>2122.6099999999997</v>
      </c>
      <c r="F268" s="10">
        <f t="shared" si="4"/>
        <v>0</v>
      </c>
    </row>
    <row r="269" spans="1:6">
      <c r="A269" s="9">
        <v>302</v>
      </c>
      <c r="B269" s="9" t="s">
        <v>37</v>
      </c>
      <c r="C269" s="10">
        <v>3609.75</v>
      </c>
      <c r="D269" s="10">
        <v>-3609.75</v>
      </c>
      <c r="E269" s="10">
        <v>0</v>
      </c>
      <c r="F269" s="10">
        <f t="shared" si="4"/>
        <v>0</v>
      </c>
    </row>
    <row r="270" spans="1:6">
      <c r="A270" s="9">
        <v>828</v>
      </c>
      <c r="B270" s="9" t="s">
        <v>36</v>
      </c>
      <c r="C270" s="10">
        <v>2816.01</v>
      </c>
      <c r="D270" s="10">
        <v>-2837.92</v>
      </c>
      <c r="E270" s="10">
        <v>0</v>
      </c>
      <c r="F270" s="10">
        <f t="shared" si="4"/>
        <v>-21.909999999999854</v>
      </c>
    </row>
    <row r="271" spans="1:6">
      <c r="A271" s="9">
        <v>81</v>
      </c>
      <c r="B271" s="9" t="s">
        <v>35</v>
      </c>
      <c r="C271" s="10">
        <v>1606.28</v>
      </c>
      <c r="D271" s="10">
        <v>-1621.13</v>
      </c>
      <c r="E271" s="10">
        <v>0</v>
      </c>
      <c r="F271" s="10">
        <f t="shared" si="4"/>
        <v>-14.850000000000136</v>
      </c>
    </row>
    <row r="272" spans="1:6">
      <c r="A272" s="9">
        <v>6</v>
      </c>
      <c r="B272" s="9" t="s">
        <v>34</v>
      </c>
      <c r="C272" s="10">
        <v>1383.53</v>
      </c>
      <c r="D272" s="10">
        <v>-695.84</v>
      </c>
      <c r="E272" s="10">
        <v>687.68999999999994</v>
      </c>
      <c r="F272" s="10">
        <f t="shared" si="4"/>
        <v>0</v>
      </c>
    </row>
    <row r="273" spans="1:7">
      <c r="A273" s="9">
        <v>16</v>
      </c>
      <c r="B273" s="9" t="s">
        <v>33</v>
      </c>
      <c r="C273" s="10">
        <v>1364.1</v>
      </c>
      <c r="D273" s="10">
        <v>-1302.0999999999999</v>
      </c>
      <c r="E273" s="10">
        <v>62</v>
      </c>
      <c r="F273" s="10">
        <f t="shared" si="4"/>
        <v>0</v>
      </c>
    </row>
    <row r="274" spans="1:7">
      <c r="A274" s="9">
        <v>802</v>
      </c>
      <c r="B274" s="9" t="s">
        <v>32</v>
      </c>
      <c r="C274" s="10">
        <v>1084.8800000000001</v>
      </c>
      <c r="D274" s="10">
        <v>-99</v>
      </c>
      <c r="E274" s="10">
        <v>985.88000000000011</v>
      </c>
      <c r="F274" s="10">
        <f t="shared" si="4"/>
        <v>0</v>
      </c>
    </row>
    <row r="275" spans="1:7">
      <c r="A275" s="9">
        <v>15</v>
      </c>
      <c r="B275" s="9" t="s">
        <v>31</v>
      </c>
      <c r="C275" s="10">
        <v>1802.89</v>
      </c>
      <c r="D275" s="10">
        <v>-1802.89</v>
      </c>
      <c r="E275" s="10">
        <v>0</v>
      </c>
      <c r="F275" s="10">
        <f t="shared" si="4"/>
        <v>0</v>
      </c>
    </row>
    <row r="276" spans="1:7">
      <c r="A276" s="9">
        <v>14</v>
      </c>
      <c r="B276" s="9" t="s">
        <v>30</v>
      </c>
      <c r="C276" s="10">
        <v>1230.28</v>
      </c>
      <c r="D276" s="10">
        <v>-1019.37</v>
      </c>
      <c r="E276" s="10">
        <v>210.90999999999997</v>
      </c>
      <c r="F276" s="10">
        <f t="shared" si="4"/>
        <v>0</v>
      </c>
    </row>
    <row r="277" spans="1:7">
      <c r="A277" s="9">
        <v>1007</v>
      </c>
      <c r="B277" s="9" t="s">
        <v>29</v>
      </c>
      <c r="C277" s="10">
        <v>748.21</v>
      </c>
      <c r="D277" s="10">
        <v>-588.88</v>
      </c>
      <c r="E277" s="10">
        <v>159.33000000000004</v>
      </c>
      <c r="F277" s="10">
        <f t="shared" si="4"/>
        <v>0</v>
      </c>
    </row>
    <row r="278" spans="1:7">
      <c r="A278" s="9">
        <v>38</v>
      </c>
      <c r="B278" s="9" t="s">
        <v>28</v>
      </c>
      <c r="C278" s="10">
        <v>602.6</v>
      </c>
      <c r="D278" s="10">
        <v>-602.6</v>
      </c>
      <c r="E278" s="10">
        <v>0</v>
      </c>
      <c r="F278" s="10">
        <f t="shared" si="4"/>
        <v>0</v>
      </c>
    </row>
    <row r="279" spans="1:7">
      <c r="A279" s="9">
        <v>1038</v>
      </c>
      <c r="B279" s="9" t="s">
        <v>27</v>
      </c>
      <c r="C279" s="10">
        <v>1134.3800000000001</v>
      </c>
      <c r="D279" s="10">
        <v>-205.85</v>
      </c>
      <c r="E279" s="10">
        <v>928.53000000000009</v>
      </c>
      <c r="F279" s="10">
        <f t="shared" si="4"/>
        <v>0</v>
      </c>
    </row>
    <row r="280" spans="1:7">
      <c r="A280" s="9">
        <v>17</v>
      </c>
      <c r="B280" s="9" t="s">
        <v>26</v>
      </c>
      <c r="C280" s="10">
        <v>308.05</v>
      </c>
      <c r="D280" s="10">
        <v>-210</v>
      </c>
      <c r="E280" s="10">
        <v>98.050000000000011</v>
      </c>
      <c r="F280" s="10">
        <f t="shared" si="4"/>
        <v>0</v>
      </c>
    </row>
    <row r="281" spans="1:7">
      <c r="A281" s="9">
        <v>574</v>
      </c>
      <c r="B281" s="9" t="s">
        <v>25</v>
      </c>
      <c r="C281" s="10">
        <v>110</v>
      </c>
      <c r="D281" s="10">
        <v>52</v>
      </c>
      <c r="E281" s="10">
        <v>162</v>
      </c>
      <c r="F281" s="10">
        <f t="shared" si="4"/>
        <v>0</v>
      </c>
    </row>
    <row r="282" spans="1:7">
      <c r="A282" s="9">
        <v>25</v>
      </c>
      <c r="B282" s="9" t="s">
        <v>24</v>
      </c>
      <c r="C282" s="10">
        <v>511.5</v>
      </c>
      <c r="D282" s="10">
        <v>-503.5</v>
      </c>
      <c r="E282" s="10">
        <v>8</v>
      </c>
      <c r="F282" s="10">
        <f t="shared" si="4"/>
        <v>0</v>
      </c>
    </row>
    <row r="283" spans="1:7">
      <c r="A283" s="9">
        <v>40</v>
      </c>
      <c r="B283" s="9" t="s">
        <v>23</v>
      </c>
      <c r="C283" s="10">
        <v>407</v>
      </c>
      <c r="D283" s="10">
        <v>-220</v>
      </c>
      <c r="E283" s="10">
        <v>187</v>
      </c>
      <c r="F283" s="10">
        <f t="shared" si="4"/>
        <v>0</v>
      </c>
    </row>
    <row r="284" spans="1:7">
      <c r="A284" s="9">
        <v>45</v>
      </c>
      <c r="B284" s="9" t="s">
        <v>22</v>
      </c>
      <c r="C284" s="10">
        <v>2143.2800000000002</v>
      </c>
      <c r="D284" s="10">
        <v>-2111.94</v>
      </c>
      <c r="E284" s="10">
        <v>31.340000000000146</v>
      </c>
      <c r="F284" s="10">
        <f t="shared" si="4"/>
        <v>0</v>
      </c>
    </row>
    <row r="285" spans="1:7">
      <c r="A285" s="9">
        <v>33</v>
      </c>
      <c r="B285" s="9" t="s">
        <v>21</v>
      </c>
      <c r="C285" s="10">
        <v>1132.5</v>
      </c>
      <c r="D285" s="10">
        <v>-1125</v>
      </c>
      <c r="E285" s="10">
        <v>7.5</v>
      </c>
      <c r="F285" s="10">
        <f t="shared" si="4"/>
        <v>0</v>
      </c>
    </row>
    <row r="286" spans="1:7">
      <c r="A286" s="9">
        <v>42</v>
      </c>
      <c r="B286" s="9" t="s">
        <v>20</v>
      </c>
      <c r="C286" s="10">
        <v>366.76</v>
      </c>
      <c r="D286" s="10">
        <v>-365.59</v>
      </c>
      <c r="E286" s="10">
        <v>1.1700000000000159</v>
      </c>
      <c r="F286" s="10">
        <f t="shared" si="4"/>
        <v>0</v>
      </c>
      <c r="G286" s="10">
        <f>SUM(E231:E286)</f>
        <v>18338.719999999998</v>
      </c>
    </row>
    <row r="287" spans="1:7">
      <c r="C287" s="10">
        <f>SUM(C2:C286)</f>
        <v>368925.84</v>
      </c>
      <c r="D287" s="10">
        <f>SUM(D2:D286)</f>
        <v>-278793.69999999995</v>
      </c>
      <c r="E287" s="10">
        <f>SUM(E2:E286)</f>
        <v>107966.70999999999</v>
      </c>
      <c r="F287" s="10">
        <f>SUM(F2:F286)</f>
        <v>-17834.570000000003</v>
      </c>
      <c r="G287" s="10">
        <f>SUM(G2:G286)</f>
        <v>107966.70999999999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76080-41E0-428A-8019-798BDB6BFF70}">
  <dimension ref="A1:H287"/>
  <sheetViews>
    <sheetView workbookViewId="0">
      <selection activeCell="F279" sqref="F279"/>
    </sheetView>
  </sheetViews>
  <sheetFormatPr baseColWidth="10" defaultColWidth="9" defaultRowHeight="15"/>
  <cols>
    <col min="1" max="1" width="9" style="9"/>
    <col min="2" max="2" width="40.6640625" style="9" bestFit="1" customWidth="1"/>
    <col min="3" max="3" width="10.1640625" style="10" bestFit="1" customWidth="1"/>
    <col min="4" max="5" width="10.33203125" style="10" bestFit="1" customWidth="1"/>
    <col min="6" max="16384" width="9" style="9"/>
  </cols>
  <sheetData>
    <row r="1" spans="1:8">
      <c r="A1" s="12" t="s">
        <v>310</v>
      </c>
      <c r="B1" s="12" t="s">
        <v>309</v>
      </c>
      <c r="C1" s="11" t="s">
        <v>308</v>
      </c>
      <c r="D1" s="11" t="s">
        <v>307</v>
      </c>
      <c r="E1" s="11" t="s">
        <v>311</v>
      </c>
    </row>
    <row r="2" spans="1:8">
      <c r="A2" s="9">
        <v>156</v>
      </c>
      <c r="B2" s="9" t="s">
        <v>304</v>
      </c>
      <c r="C2" s="10">
        <v>0</v>
      </c>
      <c r="D2" s="10">
        <v>33</v>
      </c>
      <c r="E2" s="10">
        <f t="shared" ref="E2:E33" si="0">IF(C2+D2&gt;0, C2+D2, 0)</f>
        <v>33</v>
      </c>
      <c r="H2" s="10">
        <v>99</v>
      </c>
    </row>
    <row r="3" spans="1:8">
      <c r="A3" s="9">
        <v>725</v>
      </c>
      <c r="B3" s="9" t="s">
        <v>303</v>
      </c>
      <c r="C3" s="10">
        <v>941.07</v>
      </c>
      <c r="D3" s="10">
        <v>-941.07</v>
      </c>
      <c r="E3" s="10">
        <f t="shared" si="0"/>
        <v>0</v>
      </c>
      <c r="H3" s="10">
        <v>51.960000000000036</v>
      </c>
    </row>
    <row r="4" spans="1:8">
      <c r="A4" s="9">
        <v>56</v>
      </c>
      <c r="B4" s="9" t="s">
        <v>302</v>
      </c>
      <c r="C4" s="10">
        <v>9911.6299999999992</v>
      </c>
      <c r="D4" s="10">
        <v>-9911.6299999999992</v>
      </c>
      <c r="E4" s="10">
        <f t="shared" si="0"/>
        <v>0</v>
      </c>
      <c r="H4" s="10">
        <v>0</v>
      </c>
    </row>
    <row r="5" spans="1:8">
      <c r="A5" s="9">
        <v>318</v>
      </c>
      <c r="B5" s="9" t="s">
        <v>301</v>
      </c>
      <c r="C5" s="10">
        <v>2909.83</v>
      </c>
      <c r="D5" s="10">
        <v>-2908.37</v>
      </c>
      <c r="E5" s="10">
        <f t="shared" si="0"/>
        <v>1.4600000000000364</v>
      </c>
      <c r="H5" s="10">
        <v>1.4600000000000364</v>
      </c>
    </row>
    <row r="6" spans="1:8">
      <c r="A6" s="9">
        <v>1098</v>
      </c>
      <c r="B6" s="9" t="s">
        <v>300</v>
      </c>
      <c r="C6" s="10">
        <v>0</v>
      </c>
      <c r="D6" s="10">
        <v>67</v>
      </c>
      <c r="E6" s="10">
        <f t="shared" si="0"/>
        <v>67</v>
      </c>
      <c r="H6" s="10">
        <v>67</v>
      </c>
    </row>
    <row r="7" spans="1:8">
      <c r="A7" s="9">
        <v>297</v>
      </c>
      <c r="B7" s="9" t="s">
        <v>299</v>
      </c>
      <c r="C7" s="10">
        <v>1832.93</v>
      </c>
      <c r="D7" s="10">
        <v>-1772.66</v>
      </c>
      <c r="E7" s="10">
        <f t="shared" si="0"/>
        <v>60.269999999999982</v>
      </c>
      <c r="H7" s="10">
        <v>486.94000000000005</v>
      </c>
    </row>
    <row r="8" spans="1:8">
      <c r="A8" s="9">
        <v>1021</v>
      </c>
      <c r="B8" s="9" t="s">
        <v>298</v>
      </c>
      <c r="C8" s="10">
        <v>0</v>
      </c>
      <c r="D8" s="10">
        <v>20</v>
      </c>
      <c r="E8" s="10">
        <f t="shared" si="0"/>
        <v>20</v>
      </c>
      <c r="H8" s="10">
        <v>20</v>
      </c>
    </row>
    <row r="9" spans="1:8">
      <c r="A9" s="9">
        <v>167</v>
      </c>
      <c r="B9" s="9" t="s">
        <v>297</v>
      </c>
      <c r="C9" s="10">
        <v>1804.64</v>
      </c>
      <c r="D9" s="10">
        <v>-1804.64</v>
      </c>
      <c r="E9" s="10">
        <f t="shared" si="0"/>
        <v>0</v>
      </c>
      <c r="H9" s="10">
        <v>1879.64</v>
      </c>
    </row>
    <row r="10" spans="1:8">
      <c r="A10" s="9">
        <v>170</v>
      </c>
      <c r="B10" s="9" t="s">
        <v>296</v>
      </c>
      <c r="C10" s="10">
        <v>50.2</v>
      </c>
      <c r="D10" s="10">
        <v>-50.2</v>
      </c>
      <c r="E10" s="10">
        <f t="shared" si="0"/>
        <v>0</v>
      </c>
      <c r="H10" s="10">
        <v>50.2</v>
      </c>
    </row>
    <row r="11" spans="1:8">
      <c r="A11" s="9">
        <v>172</v>
      </c>
      <c r="B11" s="9" t="s">
        <v>295</v>
      </c>
      <c r="C11" s="10">
        <v>603</v>
      </c>
      <c r="D11" s="10">
        <v>-516.96</v>
      </c>
      <c r="E11" s="10">
        <f t="shared" si="0"/>
        <v>86.039999999999964</v>
      </c>
      <c r="H11" s="10">
        <v>683</v>
      </c>
    </row>
    <row r="12" spans="1:8">
      <c r="A12" s="9">
        <v>174</v>
      </c>
      <c r="B12" s="9" t="s">
        <v>294</v>
      </c>
      <c r="C12" s="10">
        <v>2094.16</v>
      </c>
      <c r="D12" s="10">
        <v>-2064.16</v>
      </c>
      <c r="E12" s="10">
        <f t="shared" si="0"/>
        <v>30</v>
      </c>
      <c r="H12" s="10">
        <v>1028.3599999999999</v>
      </c>
    </row>
    <row r="13" spans="1:8">
      <c r="A13" s="9">
        <v>176</v>
      </c>
      <c r="B13" s="9" t="s">
        <v>293</v>
      </c>
      <c r="C13" s="10">
        <v>1853.58</v>
      </c>
      <c r="D13" s="10">
        <v>-1853.58</v>
      </c>
      <c r="E13" s="10">
        <f t="shared" si="0"/>
        <v>0</v>
      </c>
      <c r="H13" s="10">
        <v>415.30999999999995</v>
      </c>
    </row>
    <row r="14" spans="1:8">
      <c r="A14" s="9">
        <v>166</v>
      </c>
      <c r="B14" s="9" t="s">
        <v>292</v>
      </c>
      <c r="C14" s="10">
        <v>872.5</v>
      </c>
      <c r="D14" s="10">
        <v>-865.5</v>
      </c>
      <c r="E14" s="10">
        <f t="shared" si="0"/>
        <v>7</v>
      </c>
      <c r="F14" s="10">
        <f>E14-H14</f>
        <v>7</v>
      </c>
      <c r="H14" s="10">
        <v>0</v>
      </c>
    </row>
    <row r="15" spans="1:8">
      <c r="A15" s="9">
        <v>1093</v>
      </c>
      <c r="B15" s="9" t="s">
        <v>291</v>
      </c>
      <c r="C15" s="10">
        <v>128.43</v>
      </c>
      <c r="D15" s="10">
        <v>-105.3</v>
      </c>
      <c r="E15" s="10">
        <f t="shared" si="0"/>
        <v>23.13000000000001</v>
      </c>
      <c r="H15" s="10">
        <v>220.61</v>
      </c>
    </row>
    <row r="16" spans="1:8">
      <c r="A16" s="9">
        <v>666</v>
      </c>
      <c r="B16" s="9" t="s">
        <v>290</v>
      </c>
      <c r="C16" s="10">
        <v>0</v>
      </c>
      <c r="D16" s="10">
        <v>30</v>
      </c>
      <c r="E16" s="10">
        <f t="shared" si="0"/>
        <v>30</v>
      </c>
      <c r="H16" s="10">
        <v>30</v>
      </c>
    </row>
    <row r="17" spans="1:8">
      <c r="A17" s="9">
        <v>66</v>
      </c>
      <c r="B17" s="9" t="s">
        <v>289</v>
      </c>
      <c r="C17" s="10">
        <v>811.25</v>
      </c>
      <c r="D17" s="10">
        <v>-809.23</v>
      </c>
      <c r="E17" s="10">
        <f t="shared" si="0"/>
        <v>2.0199999999999818</v>
      </c>
      <c r="F17" s="10">
        <f>E17-H17</f>
        <v>2.0199999999999818</v>
      </c>
      <c r="H17" s="10">
        <v>0</v>
      </c>
    </row>
    <row r="18" spans="1:8">
      <c r="A18" s="9">
        <v>175</v>
      </c>
      <c r="B18" s="9" t="s">
        <v>288</v>
      </c>
      <c r="C18" s="10">
        <v>100</v>
      </c>
      <c r="D18" s="10">
        <v>-58.53</v>
      </c>
      <c r="E18" s="10">
        <f t="shared" si="0"/>
        <v>41.47</v>
      </c>
      <c r="F18" s="10">
        <f>E18-H18</f>
        <v>30</v>
      </c>
      <c r="H18" s="10">
        <v>11.469999999999999</v>
      </c>
    </row>
    <row r="19" spans="1:8">
      <c r="A19" s="9">
        <v>157</v>
      </c>
      <c r="B19" s="9" t="s">
        <v>287</v>
      </c>
      <c r="C19" s="10">
        <v>1088.73</v>
      </c>
      <c r="D19" s="10">
        <v>-1088.73</v>
      </c>
      <c r="E19" s="10">
        <f t="shared" si="0"/>
        <v>0</v>
      </c>
      <c r="H19" s="10">
        <v>465.75</v>
      </c>
    </row>
    <row r="20" spans="1:8">
      <c r="A20" s="9">
        <v>159</v>
      </c>
      <c r="B20" s="9" t="s">
        <v>286</v>
      </c>
      <c r="C20" s="10">
        <v>659.8</v>
      </c>
      <c r="D20" s="10">
        <v>-494.1</v>
      </c>
      <c r="E20" s="10">
        <f t="shared" si="0"/>
        <v>165.69999999999993</v>
      </c>
      <c r="H20" s="10">
        <v>165.69999999999993</v>
      </c>
    </row>
    <row r="21" spans="1:8">
      <c r="A21" s="9">
        <v>158</v>
      </c>
      <c r="B21" s="9" t="s">
        <v>285</v>
      </c>
      <c r="C21" s="10">
        <v>166.19</v>
      </c>
      <c r="D21" s="10">
        <v>-38.450000000000003</v>
      </c>
      <c r="E21" s="10">
        <f t="shared" si="0"/>
        <v>127.74</v>
      </c>
      <c r="H21" s="10">
        <v>127.74</v>
      </c>
    </row>
    <row r="22" spans="1:8">
      <c r="A22" s="9">
        <v>876</v>
      </c>
      <c r="B22" s="9" t="s">
        <v>284</v>
      </c>
      <c r="C22" s="10">
        <v>1347.5</v>
      </c>
      <c r="D22" s="10">
        <v>-1190</v>
      </c>
      <c r="E22" s="10">
        <f t="shared" si="0"/>
        <v>157.5</v>
      </c>
      <c r="F22" s="10"/>
      <c r="H22" s="10">
        <v>1347.5</v>
      </c>
    </row>
    <row r="23" spans="1:8">
      <c r="A23" s="9">
        <v>918</v>
      </c>
      <c r="B23" s="9" t="s">
        <v>283</v>
      </c>
      <c r="C23" s="10">
        <v>1047.5</v>
      </c>
      <c r="D23" s="10">
        <v>-962.02</v>
      </c>
      <c r="E23" s="10">
        <f t="shared" si="0"/>
        <v>85.480000000000018</v>
      </c>
      <c r="H23" s="10">
        <v>240.48000000000002</v>
      </c>
    </row>
    <row r="24" spans="1:8">
      <c r="A24" s="9">
        <v>173</v>
      </c>
      <c r="B24" s="9" t="s">
        <v>282</v>
      </c>
      <c r="C24" s="10">
        <v>174.46</v>
      </c>
      <c r="D24" s="10">
        <v>-7</v>
      </c>
      <c r="E24" s="10">
        <f t="shared" si="0"/>
        <v>167.46</v>
      </c>
      <c r="H24" s="10">
        <v>167.46</v>
      </c>
    </row>
    <row r="25" spans="1:8">
      <c r="A25" s="9">
        <v>164</v>
      </c>
      <c r="B25" s="9" t="s">
        <v>281</v>
      </c>
      <c r="C25" s="10">
        <v>2158.21</v>
      </c>
      <c r="D25" s="10">
        <v>-2158.21</v>
      </c>
      <c r="E25" s="10">
        <f t="shared" si="0"/>
        <v>0</v>
      </c>
      <c r="H25" s="10">
        <v>1563.5900000000001</v>
      </c>
    </row>
    <row r="26" spans="1:8">
      <c r="A26" s="9">
        <v>719</v>
      </c>
      <c r="B26" s="9" t="s">
        <v>280</v>
      </c>
      <c r="C26" s="10">
        <v>427.59</v>
      </c>
      <c r="D26" s="10">
        <v>0</v>
      </c>
      <c r="E26" s="10">
        <f t="shared" si="0"/>
        <v>427.59</v>
      </c>
      <c r="H26" s="10">
        <v>427.59</v>
      </c>
    </row>
    <row r="27" spans="1:8">
      <c r="A27" s="9">
        <v>169</v>
      </c>
      <c r="B27" s="9" t="s">
        <v>279</v>
      </c>
      <c r="C27" s="10">
        <v>1073.19</v>
      </c>
      <c r="D27" s="10">
        <v>30</v>
      </c>
      <c r="E27" s="10">
        <f t="shared" si="0"/>
        <v>1103.19</v>
      </c>
      <c r="H27" s="10">
        <v>1103.19</v>
      </c>
    </row>
    <row r="28" spans="1:8">
      <c r="A28" s="9">
        <v>162</v>
      </c>
      <c r="B28" s="9" t="s">
        <v>278</v>
      </c>
      <c r="C28" s="10">
        <v>1680.25</v>
      </c>
      <c r="D28" s="10">
        <v>-1680.25</v>
      </c>
      <c r="E28" s="10">
        <f t="shared" si="0"/>
        <v>0</v>
      </c>
      <c r="H28" s="10">
        <v>0</v>
      </c>
    </row>
    <row r="29" spans="1:8">
      <c r="A29" s="9">
        <v>163</v>
      </c>
      <c r="B29" s="9" t="s">
        <v>277</v>
      </c>
      <c r="C29" s="10">
        <v>2182.13</v>
      </c>
      <c r="D29" s="10">
        <v>-2132.13</v>
      </c>
      <c r="E29" s="10">
        <f t="shared" si="0"/>
        <v>50</v>
      </c>
      <c r="H29" s="10">
        <v>828.13000000000011</v>
      </c>
    </row>
    <row r="30" spans="1:8">
      <c r="A30" s="9">
        <v>178</v>
      </c>
      <c r="B30" s="9" t="s">
        <v>276</v>
      </c>
      <c r="C30" s="10">
        <v>1431.38</v>
      </c>
      <c r="D30" s="10">
        <v>-1431.38</v>
      </c>
      <c r="E30" s="10">
        <f t="shared" si="0"/>
        <v>0</v>
      </c>
      <c r="H30" s="10">
        <v>474.93000000000006</v>
      </c>
    </row>
    <row r="31" spans="1:8">
      <c r="A31" s="9">
        <v>749</v>
      </c>
      <c r="B31" s="9" t="s">
        <v>275</v>
      </c>
      <c r="C31" s="10">
        <v>628.5</v>
      </c>
      <c r="D31" s="10">
        <v>-628.5</v>
      </c>
      <c r="E31" s="10">
        <f t="shared" si="0"/>
        <v>0</v>
      </c>
      <c r="H31" s="10">
        <v>434.65999999999997</v>
      </c>
    </row>
    <row r="32" spans="1:8">
      <c r="A32" s="9">
        <v>161</v>
      </c>
      <c r="B32" s="9" t="s">
        <v>274</v>
      </c>
      <c r="C32" s="10">
        <v>171.05</v>
      </c>
      <c r="D32" s="10">
        <v>0</v>
      </c>
      <c r="E32" s="10">
        <f t="shared" si="0"/>
        <v>171.05</v>
      </c>
      <c r="F32" s="10">
        <f>SUM(E2:E32)-SUM(F2:F31)</f>
        <v>2818.0800000000004</v>
      </c>
      <c r="H32" s="10">
        <v>171.05</v>
      </c>
    </row>
    <row r="33" spans="1:8">
      <c r="A33" s="9">
        <v>773</v>
      </c>
      <c r="B33" s="9" t="s">
        <v>273</v>
      </c>
      <c r="C33" s="10">
        <v>0</v>
      </c>
      <c r="D33" s="10">
        <v>3</v>
      </c>
      <c r="E33" s="10">
        <f t="shared" si="0"/>
        <v>3</v>
      </c>
      <c r="G33" s="10">
        <v>3</v>
      </c>
      <c r="H33" s="10">
        <v>3</v>
      </c>
    </row>
    <row r="34" spans="1:8">
      <c r="A34" s="9">
        <v>316</v>
      </c>
      <c r="B34" s="9" t="s">
        <v>272</v>
      </c>
      <c r="C34" s="10">
        <v>222.75</v>
      </c>
      <c r="D34" s="10">
        <v>0</v>
      </c>
      <c r="E34" s="10">
        <f t="shared" ref="E34:E65" si="1">IF(C34+D34&gt;0, C34+D34, 0)</f>
        <v>222.75</v>
      </c>
      <c r="G34" s="10">
        <v>222.75</v>
      </c>
      <c r="H34" s="10">
        <v>222.75</v>
      </c>
    </row>
    <row r="35" spans="1:8">
      <c r="A35" s="9">
        <v>739</v>
      </c>
      <c r="B35" s="9" t="s">
        <v>271</v>
      </c>
      <c r="C35" s="10">
        <v>0</v>
      </c>
      <c r="D35" s="10">
        <v>3</v>
      </c>
      <c r="E35" s="10">
        <f t="shared" si="1"/>
        <v>3</v>
      </c>
      <c r="G35" s="10">
        <v>3</v>
      </c>
      <c r="H35" s="10">
        <v>3</v>
      </c>
    </row>
    <row r="36" spans="1:8">
      <c r="A36" s="9">
        <v>642</v>
      </c>
      <c r="B36" s="9" t="s">
        <v>270</v>
      </c>
      <c r="C36" s="10">
        <v>0</v>
      </c>
      <c r="D36" s="10">
        <v>15</v>
      </c>
      <c r="E36" s="10">
        <f t="shared" si="1"/>
        <v>15</v>
      </c>
      <c r="G36" s="10">
        <v>15</v>
      </c>
      <c r="H36" s="10">
        <v>15</v>
      </c>
    </row>
    <row r="37" spans="1:8">
      <c r="A37" s="9">
        <v>102</v>
      </c>
      <c r="B37" s="9" t="s">
        <v>269</v>
      </c>
      <c r="C37" s="10">
        <v>23.11</v>
      </c>
      <c r="D37" s="10">
        <v>0</v>
      </c>
      <c r="E37" s="10">
        <f t="shared" si="1"/>
        <v>23.11</v>
      </c>
      <c r="G37" s="10">
        <v>23.11</v>
      </c>
      <c r="H37" s="10">
        <v>23.11</v>
      </c>
    </row>
    <row r="38" spans="1:8">
      <c r="A38" s="9">
        <v>106</v>
      </c>
      <c r="B38" s="9" t="s">
        <v>268</v>
      </c>
      <c r="C38" s="10">
        <v>282.5</v>
      </c>
      <c r="D38" s="10">
        <v>229.31</v>
      </c>
      <c r="E38" s="10">
        <f t="shared" si="1"/>
        <v>511.81</v>
      </c>
      <c r="G38" s="10">
        <v>511.81</v>
      </c>
      <c r="H38" s="10">
        <v>511.81</v>
      </c>
    </row>
    <row r="39" spans="1:8">
      <c r="A39" s="9">
        <v>1104</v>
      </c>
      <c r="B39" s="9" t="s">
        <v>267</v>
      </c>
      <c r="C39" s="10">
        <v>875</v>
      </c>
      <c r="D39" s="10">
        <v>10</v>
      </c>
      <c r="E39" s="10">
        <f t="shared" si="1"/>
        <v>885</v>
      </c>
      <c r="G39" s="10">
        <v>885</v>
      </c>
      <c r="H39" s="10">
        <v>885</v>
      </c>
    </row>
    <row r="40" spans="1:8">
      <c r="A40" s="9">
        <v>881</v>
      </c>
      <c r="B40" s="9" t="s">
        <v>266</v>
      </c>
      <c r="C40" s="10">
        <v>1200</v>
      </c>
      <c r="D40" s="10">
        <v>0</v>
      </c>
      <c r="E40" s="10">
        <f t="shared" si="1"/>
        <v>1200</v>
      </c>
      <c r="G40" s="10">
        <v>1200</v>
      </c>
      <c r="H40" s="10">
        <v>1200</v>
      </c>
    </row>
    <row r="41" spans="1:8">
      <c r="A41" s="9">
        <v>354</v>
      </c>
      <c r="B41" s="9" t="s">
        <v>265</v>
      </c>
      <c r="C41" s="10">
        <v>95</v>
      </c>
      <c r="D41" s="10">
        <v>0</v>
      </c>
      <c r="E41" s="10">
        <f t="shared" si="1"/>
        <v>95</v>
      </c>
      <c r="G41" s="10">
        <v>95</v>
      </c>
      <c r="H41" s="10">
        <v>95</v>
      </c>
    </row>
    <row r="42" spans="1:8">
      <c r="A42" s="9">
        <v>577</v>
      </c>
      <c r="B42" s="9" t="s">
        <v>264</v>
      </c>
      <c r="C42" s="10">
        <v>0</v>
      </c>
      <c r="D42" s="10">
        <v>30</v>
      </c>
      <c r="E42" s="10">
        <f t="shared" si="1"/>
        <v>30</v>
      </c>
      <c r="G42" s="10">
        <v>30</v>
      </c>
      <c r="H42" s="10">
        <v>30</v>
      </c>
    </row>
    <row r="43" spans="1:8">
      <c r="A43" s="9">
        <v>581</v>
      </c>
      <c r="B43" s="9" t="s">
        <v>263</v>
      </c>
      <c r="C43" s="10">
        <v>0</v>
      </c>
      <c r="D43" s="10">
        <v>15</v>
      </c>
      <c r="E43" s="10">
        <f t="shared" si="1"/>
        <v>15</v>
      </c>
      <c r="G43" s="10">
        <v>15</v>
      </c>
      <c r="H43" s="10">
        <v>15</v>
      </c>
    </row>
    <row r="44" spans="1:8">
      <c r="A44" s="9">
        <v>94</v>
      </c>
      <c r="B44" s="9" t="s">
        <v>262</v>
      </c>
      <c r="C44" s="10">
        <v>47.85</v>
      </c>
      <c r="D44" s="10">
        <v>30</v>
      </c>
      <c r="E44" s="10">
        <f t="shared" si="1"/>
        <v>77.849999999999994</v>
      </c>
      <c r="G44" s="10">
        <v>77.849999999999994</v>
      </c>
      <c r="H44" s="10">
        <v>77.849999999999994</v>
      </c>
    </row>
    <row r="45" spans="1:8">
      <c r="A45" s="9">
        <v>95</v>
      </c>
      <c r="B45" s="9" t="s">
        <v>261</v>
      </c>
      <c r="C45" s="10">
        <v>358.57</v>
      </c>
      <c r="D45" s="10">
        <v>-75</v>
      </c>
      <c r="E45" s="10">
        <f t="shared" si="1"/>
        <v>283.57</v>
      </c>
      <c r="G45" s="10">
        <v>283.57</v>
      </c>
      <c r="H45" s="10">
        <v>283.57</v>
      </c>
    </row>
    <row r="46" spans="1:8">
      <c r="A46" s="9">
        <v>104</v>
      </c>
      <c r="B46" s="9" t="s">
        <v>260</v>
      </c>
      <c r="C46" s="10">
        <v>659.5</v>
      </c>
      <c r="D46" s="10">
        <v>1267.96</v>
      </c>
      <c r="E46" s="10">
        <f t="shared" si="1"/>
        <v>1927.46</v>
      </c>
      <c r="F46" s="10">
        <f>E46-H46</f>
        <v>1217.96</v>
      </c>
      <c r="G46" s="17">
        <v>709.5</v>
      </c>
      <c r="H46" s="10">
        <v>709.5</v>
      </c>
    </row>
    <row r="47" spans="1:8">
      <c r="A47" s="9">
        <v>748</v>
      </c>
      <c r="B47" s="9" t="s">
        <v>259</v>
      </c>
      <c r="C47" s="10">
        <v>0</v>
      </c>
      <c r="D47" s="10">
        <v>15</v>
      </c>
      <c r="E47" s="10">
        <f t="shared" si="1"/>
        <v>15</v>
      </c>
      <c r="G47" s="10">
        <v>15</v>
      </c>
      <c r="H47" s="10">
        <v>15</v>
      </c>
    </row>
    <row r="48" spans="1:8">
      <c r="A48" s="9">
        <v>771</v>
      </c>
      <c r="B48" s="9" t="s">
        <v>258</v>
      </c>
      <c r="C48" s="10">
        <v>59.49</v>
      </c>
      <c r="D48" s="10">
        <v>0</v>
      </c>
      <c r="E48" s="10">
        <f t="shared" si="1"/>
        <v>59.49</v>
      </c>
      <c r="G48" s="10">
        <v>59.49</v>
      </c>
      <c r="H48" s="10">
        <v>59.49</v>
      </c>
    </row>
    <row r="49" spans="1:8">
      <c r="A49" s="9">
        <v>109</v>
      </c>
      <c r="B49" s="9" t="s">
        <v>257</v>
      </c>
      <c r="C49" s="10">
        <v>402.5</v>
      </c>
      <c r="D49" s="10">
        <v>-402.5</v>
      </c>
      <c r="E49" s="10">
        <f t="shared" si="1"/>
        <v>0</v>
      </c>
      <c r="G49" s="10">
        <v>477.5</v>
      </c>
      <c r="H49" s="10">
        <v>477.5</v>
      </c>
    </row>
    <row r="50" spans="1:8">
      <c r="A50" s="9">
        <v>793</v>
      </c>
      <c r="B50" s="9" t="s">
        <v>256</v>
      </c>
      <c r="C50" s="10">
        <v>447.3</v>
      </c>
      <c r="D50" s="10">
        <v>39</v>
      </c>
      <c r="E50" s="10">
        <f t="shared" si="1"/>
        <v>486.3</v>
      </c>
      <c r="G50" s="10">
        <v>486.3</v>
      </c>
      <c r="H50" s="10">
        <v>486.3</v>
      </c>
    </row>
    <row r="51" spans="1:8">
      <c r="A51" s="9">
        <v>784</v>
      </c>
      <c r="B51" s="9" t="s">
        <v>255</v>
      </c>
      <c r="C51" s="10">
        <v>183.53</v>
      </c>
      <c r="D51" s="10">
        <v>0</v>
      </c>
      <c r="E51" s="10">
        <f t="shared" si="1"/>
        <v>183.53</v>
      </c>
      <c r="G51" s="10">
        <v>183.53</v>
      </c>
      <c r="H51" s="10">
        <v>183.53</v>
      </c>
    </row>
    <row r="52" spans="1:8">
      <c r="A52" s="9">
        <v>1016</v>
      </c>
      <c r="B52" s="9" t="s">
        <v>254</v>
      </c>
      <c r="C52" s="10">
        <v>0</v>
      </c>
      <c r="D52" s="10">
        <v>74.209999999999994</v>
      </c>
      <c r="E52" s="10">
        <f t="shared" si="1"/>
        <v>74.209999999999994</v>
      </c>
      <c r="G52" s="10">
        <v>74.209999999999994</v>
      </c>
      <c r="H52" s="10">
        <v>74.209999999999994</v>
      </c>
    </row>
    <row r="53" spans="1:8">
      <c r="A53" s="9">
        <v>871</v>
      </c>
      <c r="B53" s="9" t="s">
        <v>253</v>
      </c>
      <c r="C53" s="10">
        <v>19.940000000000001</v>
      </c>
      <c r="D53" s="10">
        <v>0</v>
      </c>
      <c r="E53" s="10">
        <f t="shared" si="1"/>
        <v>19.940000000000001</v>
      </c>
      <c r="G53" s="10">
        <v>19.940000000000001</v>
      </c>
      <c r="H53" s="10">
        <v>19.940000000000001</v>
      </c>
    </row>
    <row r="54" spans="1:8">
      <c r="A54" s="9">
        <v>779</v>
      </c>
      <c r="B54" s="9" t="s">
        <v>252</v>
      </c>
      <c r="C54" s="10">
        <v>145.75</v>
      </c>
      <c r="D54" s="10">
        <v>0</v>
      </c>
      <c r="E54" s="10">
        <f t="shared" si="1"/>
        <v>145.75</v>
      </c>
      <c r="G54" s="10">
        <v>145.75</v>
      </c>
      <c r="H54" s="10">
        <v>145.75</v>
      </c>
    </row>
    <row r="55" spans="1:8">
      <c r="A55" s="9">
        <v>925</v>
      </c>
      <c r="B55" s="9" t="s">
        <v>251</v>
      </c>
      <c r="C55" s="10">
        <v>1688.5</v>
      </c>
      <c r="D55" s="10">
        <v>-521.98</v>
      </c>
      <c r="E55" s="10">
        <f t="shared" si="1"/>
        <v>1166.52</v>
      </c>
      <c r="G55" s="10">
        <v>1166.52</v>
      </c>
      <c r="H55" s="10">
        <v>1166.52</v>
      </c>
    </row>
    <row r="56" spans="1:8">
      <c r="A56" s="9">
        <v>903</v>
      </c>
      <c r="B56" s="9" t="s">
        <v>250</v>
      </c>
      <c r="C56" s="10">
        <v>70.12</v>
      </c>
      <c r="D56" s="10">
        <v>-54.05</v>
      </c>
      <c r="E56" s="10">
        <f t="shared" si="1"/>
        <v>16.070000000000007</v>
      </c>
      <c r="G56" s="10">
        <v>70.12</v>
      </c>
      <c r="H56" s="10">
        <v>70.12</v>
      </c>
    </row>
    <row r="57" spans="1:8">
      <c r="A57" s="9">
        <v>1079</v>
      </c>
      <c r="B57" s="9" t="s">
        <v>249</v>
      </c>
      <c r="C57" s="10">
        <v>0</v>
      </c>
      <c r="D57" s="10">
        <v>60</v>
      </c>
      <c r="E57" s="10">
        <f t="shared" si="1"/>
        <v>60</v>
      </c>
      <c r="F57" s="10">
        <f>SUM(E33:E57)-F46</f>
        <v>6301.3999999999987</v>
      </c>
      <c r="G57" s="10">
        <v>60</v>
      </c>
      <c r="H57" s="10">
        <v>60</v>
      </c>
    </row>
    <row r="58" spans="1:8">
      <c r="A58" s="9">
        <v>229</v>
      </c>
      <c r="B58" s="9" t="s">
        <v>248</v>
      </c>
      <c r="C58" s="10">
        <v>550.25</v>
      </c>
      <c r="D58" s="10">
        <v>-550.25</v>
      </c>
      <c r="E58" s="10">
        <f t="shared" si="1"/>
        <v>0</v>
      </c>
      <c r="H58" s="10">
        <v>104.16000000000003</v>
      </c>
    </row>
    <row r="59" spans="1:8">
      <c r="A59" s="9">
        <v>236</v>
      </c>
      <c r="B59" s="9" t="s">
        <v>247</v>
      </c>
      <c r="C59" s="10">
        <v>685</v>
      </c>
      <c r="D59" s="10">
        <v>-683.33</v>
      </c>
      <c r="E59" s="10">
        <f t="shared" si="1"/>
        <v>1.6699999999999591</v>
      </c>
      <c r="H59" s="10">
        <v>685</v>
      </c>
    </row>
    <row r="60" spans="1:8">
      <c r="A60" s="9">
        <v>230</v>
      </c>
      <c r="B60" s="9" t="s">
        <v>246</v>
      </c>
      <c r="C60" s="10">
        <v>1122.8800000000001</v>
      </c>
      <c r="D60" s="10">
        <v>-1122.8800000000001</v>
      </c>
      <c r="E60" s="10">
        <f t="shared" si="1"/>
        <v>0</v>
      </c>
      <c r="H60" s="10">
        <v>1122.8800000000001</v>
      </c>
    </row>
    <row r="61" spans="1:8">
      <c r="A61" s="9">
        <v>232</v>
      </c>
      <c r="B61" s="9" t="s">
        <v>245</v>
      </c>
      <c r="C61" s="10">
        <v>209.28</v>
      </c>
      <c r="D61" s="10">
        <v>0.01</v>
      </c>
      <c r="E61" s="10">
        <f t="shared" si="1"/>
        <v>209.29</v>
      </c>
      <c r="H61" s="10">
        <v>209.29</v>
      </c>
    </row>
    <row r="62" spans="1:8">
      <c r="A62" s="9">
        <v>1097</v>
      </c>
      <c r="B62" s="9" t="s">
        <v>244</v>
      </c>
      <c r="C62" s="10">
        <v>0</v>
      </c>
      <c r="D62" s="10">
        <v>31</v>
      </c>
      <c r="E62" s="10">
        <f t="shared" si="1"/>
        <v>31</v>
      </c>
      <c r="H62" s="10">
        <v>31</v>
      </c>
    </row>
    <row r="63" spans="1:8">
      <c r="A63" s="9">
        <v>1094</v>
      </c>
      <c r="B63" s="9" t="s">
        <v>243</v>
      </c>
      <c r="C63" s="10">
        <v>588.13</v>
      </c>
      <c r="D63" s="10">
        <v>-584.73</v>
      </c>
      <c r="E63" s="10">
        <f t="shared" si="1"/>
        <v>3.3999999999999773</v>
      </c>
      <c r="H63" s="10">
        <v>3.3999999999999773</v>
      </c>
    </row>
    <row r="64" spans="1:8">
      <c r="A64" s="9">
        <v>233</v>
      </c>
      <c r="B64" s="9" t="s">
        <v>242</v>
      </c>
      <c r="C64" s="10">
        <v>0</v>
      </c>
      <c r="D64" s="10">
        <v>0</v>
      </c>
      <c r="E64" s="10">
        <f t="shared" si="1"/>
        <v>0</v>
      </c>
      <c r="H64" s="10">
        <v>168.33</v>
      </c>
    </row>
    <row r="65" spans="1:8">
      <c r="A65" s="9">
        <v>1138</v>
      </c>
      <c r="B65" s="9" t="s">
        <v>241</v>
      </c>
      <c r="C65" s="10">
        <v>1148.07</v>
      </c>
      <c r="D65" s="10">
        <v>-1148.07</v>
      </c>
      <c r="E65" s="10">
        <f t="shared" si="1"/>
        <v>0</v>
      </c>
      <c r="H65" s="10">
        <v>1040.07</v>
      </c>
    </row>
    <row r="66" spans="1:8">
      <c r="A66" s="9">
        <v>231</v>
      </c>
      <c r="B66" s="9" t="s">
        <v>240</v>
      </c>
      <c r="C66" s="10">
        <v>0</v>
      </c>
      <c r="D66" s="10">
        <v>63</v>
      </c>
      <c r="E66" s="10">
        <f t="shared" ref="E66:E97" si="2">IF(C66+D66&gt;0, C66+D66, 0)</f>
        <v>63</v>
      </c>
      <c r="H66" s="10">
        <v>63</v>
      </c>
    </row>
    <row r="67" spans="1:8">
      <c r="A67" s="9">
        <v>101</v>
      </c>
      <c r="B67" s="9" t="s">
        <v>239</v>
      </c>
      <c r="C67" s="10">
        <v>77.89</v>
      </c>
      <c r="D67" s="10">
        <v>-57.36</v>
      </c>
      <c r="E67" s="10">
        <f t="shared" si="2"/>
        <v>20.53</v>
      </c>
      <c r="H67" s="10">
        <v>64.86</v>
      </c>
    </row>
    <row r="68" spans="1:8">
      <c r="A68" s="9">
        <v>228</v>
      </c>
      <c r="B68" s="9" t="s">
        <v>238</v>
      </c>
      <c r="C68" s="10">
        <v>2522.5</v>
      </c>
      <c r="D68" s="10">
        <v>-2522.5</v>
      </c>
      <c r="E68" s="10">
        <f t="shared" si="2"/>
        <v>0</v>
      </c>
      <c r="H68" s="10">
        <v>504.58999999999992</v>
      </c>
    </row>
    <row r="69" spans="1:8">
      <c r="A69" s="9">
        <v>234</v>
      </c>
      <c r="B69" s="9" t="s">
        <v>237</v>
      </c>
      <c r="C69" s="10">
        <v>2424</v>
      </c>
      <c r="D69" s="10">
        <v>-2420.67</v>
      </c>
      <c r="E69" s="10">
        <f t="shared" si="2"/>
        <v>3.3299999999999272</v>
      </c>
      <c r="H69" s="10">
        <v>302.11999999999989</v>
      </c>
    </row>
    <row r="70" spans="1:8">
      <c r="A70" s="9">
        <v>239</v>
      </c>
      <c r="B70" s="9" t="s">
        <v>236</v>
      </c>
      <c r="C70" s="10">
        <v>8262.19</v>
      </c>
      <c r="D70" s="10">
        <v>-8262.19</v>
      </c>
      <c r="E70" s="10">
        <f t="shared" si="2"/>
        <v>0</v>
      </c>
      <c r="H70" s="10">
        <v>1424.1800000000003</v>
      </c>
    </row>
    <row r="71" spans="1:8">
      <c r="A71" s="9">
        <v>240</v>
      </c>
      <c r="B71" s="9" t="s">
        <v>235</v>
      </c>
      <c r="C71" s="10">
        <v>0</v>
      </c>
      <c r="D71" s="10">
        <v>15</v>
      </c>
      <c r="E71" s="10">
        <f t="shared" si="2"/>
        <v>15</v>
      </c>
      <c r="H71" s="10">
        <v>15</v>
      </c>
    </row>
    <row r="72" spans="1:8">
      <c r="A72" s="9">
        <v>360</v>
      </c>
      <c r="B72" s="9" t="s">
        <v>234</v>
      </c>
      <c r="C72" s="10">
        <v>215.06</v>
      </c>
      <c r="D72" s="10">
        <v>-185.06</v>
      </c>
      <c r="E72" s="10">
        <f t="shared" si="2"/>
        <v>30</v>
      </c>
      <c r="F72" s="10">
        <f>E72-H72</f>
        <v>30</v>
      </c>
      <c r="H72" s="10">
        <v>0</v>
      </c>
    </row>
    <row r="73" spans="1:8">
      <c r="A73" s="9">
        <v>825</v>
      </c>
      <c r="B73" s="9" t="s">
        <v>233</v>
      </c>
      <c r="C73" s="10">
        <v>618.75</v>
      </c>
      <c r="D73" s="10">
        <v>-375.08</v>
      </c>
      <c r="E73" s="10">
        <f t="shared" si="2"/>
        <v>243.67000000000002</v>
      </c>
      <c r="F73" s="10">
        <f>E73-H73</f>
        <v>21.720000000000027</v>
      </c>
      <c r="H73" s="10">
        <v>221.95</v>
      </c>
    </row>
    <row r="74" spans="1:8">
      <c r="A74" s="9">
        <v>237</v>
      </c>
      <c r="B74" s="9" t="s">
        <v>232</v>
      </c>
      <c r="C74" s="10">
        <v>426.25</v>
      </c>
      <c r="D74" s="10">
        <v>0</v>
      </c>
      <c r="E74" s="10">
        <f t="shared" si="2"/>
        <v>426.25</v>
      </c>
      <c r="H74" s="10">
        <v>426.25</v>
      </c>
    </row>
    <row r="75" spans="1:8">
      <c r="A75" s="9">
        <v>645</v>
      </c>
      <c r="B75" s="9" t="s">
        <v>231</v>
      </c>
      <c r="C75" s="10">
        <v>757.36</v>
      </c>
      <c r="D75" s="10">
        <v>-757.24</v>
      </c>
      <c r="E75" s="10">
        <f t="shared" si="2"/>
        <v>0.12000000000000455</v>
      </c>
      <c r="F75" s="10">
        <f>SUM(E58:E75)-SUM(F58:F74)</f>
        <v>995.53999999999974</v>
      </c>
      <c r="H75" s="10">
        <v>30.550000000000068</v>
      </c>
    </row>
    <row r="76" spans="1:8">
      <c r="A76" s="9">
        <v>127</v>
      </c>
      <c r="B76" s="9" t="s">
        <v>230</v>
      </c>
      <c r="C76" s="10">
        <v>0</v>
      </c>
      <c r="D76" s="10">
        <v>30</v>
      </c>
      <c r="E76" s="10">
        <f t="shared" si="2"/>
        <v>30</v>
      </c>
      <c r="H76" s="10">
        <v>30</v>
      </c>
    </row>
    <row r="77" spans="1:8">
      <c r="A77" s="9">
        <v>131</v>
      </c>
      <c r="B77" s="9" t="s">
        <v>229</v>
      </c>
      <c r="C77" s="10">
        <v>10</v>
      </c>
      <c r="D77" s="10">
        <v>10</v>
      </c>
      <c r="E77" s="10">
        <f t="shared" si="2"/>
        <v>20</v>
      </c>
      <c r="H77" s="10">
        <v>20</v>
      </c>
    </row>
    <row r="78" spans="1:8">
      <c r="A78" s="9">
        <v>150</v>
      </c>
      <c r="B78" s="9" t="s">
        <v>228</v>
      </c>
      <c r="C78" s="10">
        <v>300</v>
      </c>
      <c r="D78" s="10">
        <v>-300</v>
      </c>
      <c r="E78" s="10">
        <f t="shared" si="2"/>
        <v>0</v>
      </c>
      <c r="H78" s="10">
        <v>350</v>
      </c>
    </row>
    <row r="79" spans="1:8">
      <c r="A79" s="9">
        <v>134</v>
      </c>
      <c r="B79" s="9" t="s">
        <v>227</v>
      </c>
      <c r="C79" s="10">
        <v>158.66999999999999</v>
      </c>
      <c r="D79" s="10">
        <v>20</v>
      </c>
      <c r="E79" s="10">
        <f t="shared" si="2"/>
        <v>178.67</v>
      </c>
      <c r="H79" s="10">
        <v>178.67</v>
      </c>
    </row>
    <row r="80" spans="1:8">
      <c r="A80" s="9">
        <v>135</v>
      </c>
      <c r="B80" s="9" t="s">
        <v>226</v>
      </c>
      <c r="C80" s="10">
        <v>78</v>
      </c>
      <c r="D80" s="10">
        <v>0</v>
      </c>
      <c r="E80" s="10">
        <f t="shared" si="2"/>
        <v>78</v>
      </c>
      <c r="H80" s="10">
        <v>78</v>
      </c>
    </row>
    <row r="81" spans="1:8">
      <c r="A81" s="9">
        <v>137</v>
      </c>
      <c r="B81" s="9" t="s">
        <v>225</v>
      </c>
      <c r="C81" s="10">
        <v>0</v>
      </c>
      <c r="D81" s="10">
        <v>0</v>
      </c>
      <c r="E81" s="10">
        <f t="shared" si="2"/>
        <v>0</v>
      </c>
      <c r="H81" s="10">
        <v>5</v>
      </c>
    </row>
    <row r="82" spans="1:8">
      <c r="A82" s="9">
        <v>139</v>
      </c>
      <c r="B82" s="9" t="s">
        <v>224</v>
      </c>
      <c r="C82" s="10">
        <v>53.85</v>
      </c>
      <c r="D82" s="10">
        <v>-53.85</v>
      </c>
      <c r="E82" s="10">
        <f t="shared" si="2"/>
        <v>0</v>
      </c>
      <c r="H82" s="10">
        <v>53.85</v>
      </c>
    </row>
    <row r="83" spans="1:8">
      <c r="A83" s="9">
        <v>141</v>
      </c>
      <c r="B83" s="9" t="s">
        <v>223</v>
      </c>
      <c r="C83" s="10">
        <v>0</v>
      </c>
      <c r="D83" s="10">
        <v>25</v>
      </c>
      <c r="E83" s="10">
        <f t="shared" si="2"/>
        <v>25</v>
      </c>
      <c r="H83" s="10">
        <v>25</v>
      </c>
    </row>
    <row r="84" spans="1:8">
      <c r="A84" s="9">
        <v>143</v>
      </c>
      <c r="B84" s="9" t="s">
        <v>222</v>
      </c>
      <c r="C84" s="10">
        <v>0</v>
      </c>
      <c r="D84" s="10">
        <v>155</v>
      </c>
      <c r="E84" s="10">
        <f t="shared" si="2"/>
        <v>155</v>
      </c>
      <c r="H84" s="10">
        <v>155</v>
      </c>
    </row>
    <row r="85" spans="1:8">
      <c r="A85" s="9">
        <v>144</v>
      </c>
      <c r="B85" s="9" t="s">
        <v>221</v>
      </c>
      <c r="C85" s="10">
        <v>0</v>
      </c>
      <c r="D85" s="10">
        <v>15</v>
      </c>
      <c r="E85" s="10">
        <f t="shared" si="2"/>
        <v>15</v>
      </c>
      <c r="H85" s="10">
        <v>15</v>
      </c>
    </row>
    <row r="86" spans="1:8">
      <c r="A86" s="9">
        <v>145</v>
      </c>
      <c r="B86" s="9" t="s">
        <v>220</v>
      </c>
      <c r="C86" s="10">
        <v>0</v>
      </c>
      <c r="D86" s="10">
        <v>10</v>
      </c>
      <c r="E86" s="10">
        <f t="shared" si="2"/>
        <v>10</v>
      </c>
      <c r="H86" s="10">
        <v>10</v>
      </c>
    </row>
    <row r="87" spans="1:8">
      <c r="A87" s="9">
        <v>124</v>
      </c>
      <c r="B87" s="9" t="s">
        <v>219</v>
      </c>
      <c r="C87" s="10">
        <v>0</v>
      </c>
      <c r="D87" s="10">
        <v>10</v>
      </c>
      <c r="E87" s="10">
        <f t="shared" si="2"/>
        <v>10</v>
      </c>
      <c r="H87" s="10">
        <v>10</v>
      </c>
    </row>
    <row r="88" spans="1:8">
      <c r="A88" s="9">
        <v>151</v>
      </c>
      <c r="B88" s="9" t="s">
        <v>218</v>
      </c>
      <c r="C88" s="10">
        <v>35</v>
      </c>
      <c r="D88" s="10">
        <v>0</v>
      </c>
      <c r="E88" s="10">
        <f t="shared" si="2"/>
        <v>35</v>
      </c>
      <c r="H88" s="10">
        <v>35</v>
      </c>
    </row>
    <row r="89" spans="1:8">
      <c r="A89" s="9">
        <v>114</v>
      </c>
      <c r="B89" s="9" t="s">
        <v>217</v>
      </c>
      <c r="C89" s="10">
        <v>0</v>
      </c>
      <c r="D89" s="10">
        <v>15</v>
      </c>
      <c r="E89" s="10">
        <f t="shared" si="2"/>
        <v>15</v>
      </c>
      <c r="H89" s="10">
        <v>15</v>
      </c>
    </row>
    <row r="90" spans="1:8">
      <c r="A90" s="9">
        <v>1140</v>
      </c>
      <c r="B90" s="9" t="s">
        <v>216</v>
      </c>
      <c r="C90" s="10">
        <v>0</v>
      </c>
      <c r="D90" s="10">
        <v>1</v>
      </c>
      <c r="E90" s="10">
        <f t="shared" si="2"/>
        <v>1</v>
      </c>
      <c r="H90" s="10">
        <v>1</v>
      </c>
    </row>
    <row r="91" spans="1:8">
      <c r="A91" s="9">
        <v>136</v>
      </c>
      <c r="B91" s="9" t="s">
        <v>215</v>
      </c>
      <c r="C91" s="10">
        <v>0</v>
      </c>
      <c r="D91" s="10">
        <v>30</v>
      </c>
      <c r="E91" s="10">
        <f t="shared" si="2"/>
        <v>30</v>
      </c>
      <c r="H91" s="10">
        <v>30</v>
      </c>
    </row>
    <row r="92" spans="1:8">
      <c r="A92" s="9">
        <v>138</v>
      </c>
      <c r="B92" s="9" t="s">
        <v>214</v>
      </c>
      <c r="C92" s="10">
        <v>53.68</v>
      </c>
      <c r="D92" s="10">
        <v>0</v>
      </c>
      <c r="E92" s="10">
        <f t="shared" si="2"/>
        <v>53.68</v>
      </c>
      <c r="H92" s="10">
        <v>53.68</v>
      </c>
    </row>
    <row r="93" spans="1:8">
      <c r="A93" s="9">
        <v>123</v>
      </c>
      <c r="B93" s="9" t="s">
        <v>213</v>
      </c>
      <c r="C93" s="10">
        <v>430</v>
      </c>
      <c r="D93" s="10">
        <v>6.0000000000002301E-2</v>
      </c>
      <c r="E93" s="10">
        <f t="shared" si="2"/>
        <v>430.06</v>
      </c>
      <c r="H93" s="10">
        <v>430.06</v>
      </c>
    </row>
    <row r="94" spans="1:8">
      <c r="A94" s="9">
        <v>911</v>
      </c>
      <c r="B94" s="9" t="s">
        <v>212</v>
      </c>
      <c r="C94" s="10">
        <v>0</v>
      </c>
      <c r="D94" s="10">
        <v>30</v>
      </c>
      <c r="E94" s="10">
        <f t="shared" si="2"/>
        <v>30</v>
      </c>
      <c r="H94" s="10">
        <v>30</v>
      </c>
    </row>
    <row r="95" spans="1:8">
      <c r="A95" s="9">
        <v>128</v>
      </c>
      <c r="B95" s="9" t="s">
        <v>211</v>
      </c>
      <c r="C95" s="10">
        <v>0</v>
      </c>
      <c r="D95" s="10">
        <v>15</v>
      </c>
      <c r="E95" s="10">
        <f t="shared" si="2"/>
        <v>15</v>
      </c>
      <c r="H95" s="10">
        <v>15</v>
      </c>
    </row>
    <row r="96" spans="1:8">
      <c r="A96" s="9">
        <v>723</v>
      </c>
      <c r="B96" s="9" t="s">
        <v>210</v>
      </c>
      <c r="C96" s="10">
        <v>145.71</v>
      </c>
      <c r="D96" s="10">
        <v>-130.30000000000001</v>
      </c>
      <c r="E96" s="10">
        <f t="shared" si="2"/>
        <v>15.409999999999997</v>
      </c>
      <c r="H96" s="10">
        <v>15.409999999999997</v>
      </c>
    </row>
    <row r="97" spans="1:8">
      <c r="A97" s="9">
        <v>129</v>
      </c>
      <c r="B97" s="9" t="s">
        <v>209</v>
      </c>
      <c r="C97" s="10">
        <v>0</v>
      </c>
      <c r="D97" s="10">
        <v>20</v>
      </c>
      <c r="E97" s="10">
        <f t="shared" si="2"/>
        <v>20</v>
      </c>
      <c r="H97" s="10">
        <v>20</v>
      </c>
    </row>
    <row r="98" spans="1:8">
      <c r="A98" s="9">
        <v>130</v>
      </c>
      <c r="B98" s="9" t="s">
        <v>208</v>
      </c>
      <c r="C98" s="10">
        <v>68.75</v>
      </c>
      <c r="D98" s="10">
        <v>40</v>
      </c>
      <c r="E98" s="10">
        <f t="shared" ref="E98:E129" si="3">IF(C98+D98&gt;0, C98+D98, 0)</f>
        <v>108.75</v>
      </c>
      <c r="H98" s="10">
        <v>108.75</v>
      </c>
    </row>
    <row r="99" spans="1:8">
      <c r="A99" s="9">
        <v>149</v>
      </c>
      <c r="B99" s="9" t="s">
        <v>207</v>
      </c>
      <c r="C99" s="10">
        <v>182.38</v>
      </c>
      <c r="D99" s="10">
        <v>-182.38</v>
      </c>
      <c r="E99" s="10">
        <f t="shared" si="3"/>
        <v>0</v>
      </c>
      <c r="H99" s="10">
        <v>0</v>
      </c>
    </row>
    <row r="100" spans="1:8">
      <c r="A100" s="9">
        <v>148</v>
      </c>
      <c r="B100" s="9" t="s">
        <v>206</v>
      </c>
      <c r="C100" s="10">
        <v>67.5</v>
      </c>
      <c r="D100" s="10">
        <v>0</v>
      </c>
      <c r="E100" s="10">
        <f t="shared" si="3"/>
        <v>67.5</v>
      </c>
      <c r="H100" s="10">
        <v>67.5</v>
      </c>
    </row>
    <row r="101" spans="1:8">
      <c r="A101" s="9">
        <v>827</v>
      </c>
      <c r="B101" s="9" t="s">
        <v>205</v>
      </c>
      <c r="C101" s="10">
        <v>0</v>
      </c>
      <c r="D101" s="10">
        <v>25</v>
      </c>
      <c r="E101" s="10">
        <f t="shared" si="3"/>
        <v>25</v>
      </c>
      <c r="H101" s="10">
        <v>25</v>
      </c>
    </row>
    <row r="102" spans="1:8">
      <c r="A102" s="9">
        <v>140</v>
      </c>
      <c r="B102" s="9" t="s">
        <v>204</v>
      </c>
      <c r="C102" s="10">
        <v>53.45</v>
      </c>
      <c r="D102" s="10">
        <v>-53.45</v>
      </c>
      <c r="E102" s="10">
        <f t="shared" si="3"/>
        <v>0</v>
      </c>
      <c r="F102" s="10">
        <f>SUM(E76:E102)</f>
        <v>1368.07</v>
      </c>
      <c r="H102" s="10">
        <v>0</v>
      </c>
    </row>
    <row r="103" spans="1:8">
      <c r="A103" s="9">
        <v>347</v>
      </c>
      <c r="B103" s="9" t="s">
        <v>203</v>
      </c>
      <c r="C103" s="10">
        <v>456.5</v>
      </c>
      <c r="D103" s="10">
        <v>0</v>
      </c>
      <c r="E103" s="10">
        <f t="shared" si="3"/>
        <v>456.5</v>
      </c>
      <c r="F103" s="10">
        <f>SUM(E103)-100</f>
        <v>356.5</v>
      </c>
      <c r="H103" s="10">
        <v>356.5</v>
      </c>
    </row>
    <row r="104" spans="1:8">
      <c r="A104" s="9">
        <v>1032</v>
      </c>
      <c r="B104" s="9" t="s">
        <v>202</v>
      </c>
      <c r="C104" s="10">
        <v>114.04</v>
      </c>
      <c r="D104" s="10">
        <v>0</v>
      </c>
      <c r="E104" s="10">
        <f t="shared" si="3"/>
        <v>114.04</v>
      </c>
      <c r="H104" s="10">
        <v>114.04</v>
      </c>
    </row>
    <row r="105" spans="1:8">
      <c r="A105" s="9">
        <v>788</v>
      </c>
      <c r="B105" s="9" t="s">
        <v>201</v>
      </c>
      <c r="C105" s="10">
        <v>69.3</v>
      </c>
      <c r="D105" s="10">
        <v>0</v>
      </c>
      <c r="E105" s="10">
        <f t="shared" si="3"/>
        <v>69.3</v>
      </c>
      <c r="H105" s="10">
        <v>69.3</v>
      </c>
    </row>
    <row r="106" spans="1:8">
      <c r="A106" s="9">
        <v>275</v>
      </c>
      <c r="B106" s="9" t="s">
        <v>200</v>
      </c>
      <c r="C106" s="10">
        <v>3407.3</v>
      </c>
      <c r="D106" s="10">
        <v>-3407.3</v>
      </c>
      <c r="E106" s="10">
        <f t="shared" si="3"/>
        <v>0</v>
      </c>
      <c r="H106" s="10">
        <v>2665.5600000000004</v>
      </c>
    </row>
    <row r="107" spans="1:8">
      <c r="A107" s="9">
        <v>760</v>
      </c>
      <c r="B107" s="9" t="s">
        <v>199</v>
      </c>
      <c r="C107" s="10">
        <v>274</v>
      </c>
      <c r="D107" s="10">
        <v>-228.33</v>
      </c>
      <c r="E107" s="10">
        <f t="shared" si="3"/>
        <v>45.669999999999987</v>
      </c>
      <c r="H107" s="10">
        <v>274</v>
      </c>
    </row>
    <row r="108" spans="1:8">
      <c r="A108" s="9">
        <v>277</v>
      </c>
      <c r="B108" s="9" t="s">
        <v>198</v>
      </c>
      <c r="C108" s="10">
        <v>7312.64</v>
      </c>
      <c r="D108" s="10">
        <v>-6349.88</v>
      </c>
      <c r="E108" s="10">
        <f t="shared" si="3"/>
        <v>962.76000000000022</v>
      </c>
      <c r="H108" s="10">
        <v>7312.64</v>
      </c>
    </row>
    <row r="109" spans="1:8">
      <c r="A109" s="9">
        <v>747</v>
      </c>
      <c r="B109" s="9" t="s">
        <v>197</v>
      </c>
      <c r="C109" s="10">
        <v>675.69</v>
      </c>
      <c r="D109" s="10">
        <v>-285.92</v>
      </c>
      <c r="E109" s="10">
        <f t="shared" si="3"/>
        <v>389.77000000000004</v>
      </c>
      <c r="H109" s="10">
        <v>389.77000000000004</v>
      </c>
    </row>
    <row r="110" spans="1:8">
      <c r="A110" s="9">
        <v>1170</v>
      </c>
      <c r="B110" s="9" t="s">
        <v>196</v>
      </c>
      <c r="C110" s="10">
        <v>528</v>
      </c>
      <c r="D110" s="10">
        <v>0</v>
      </c>
      <c r="E110" s="10">
        <f t="shared" si="3"/>
        <v>528</v>
      </c>
      <c r="H110" s="10">
        <v>528</v>
      </c>
    </row>
    <row r="111" spans="1:8">
      <c r="A111" s="9">
        <v>1033</v>
      </c>
      <c r="B111" s="9" t="s">
        <v>195</v>
      </c>
      <c r="C111" s="10">
        <v>0</v>
      </c>
      <c r="D111" s="10">
        <v>20</v>
      </c>
      <c r="E111" s="10">
        <f t="shared" si="3"/>
        <v>20</v>
      </c>
      <c r="H111" s="10">
        <v>20</v>
      </c>
    </row>
    <row r="112" spans="1:8">
      <c r="A112" s="9">
        <v>278</v>
      </c>
      <c r="B112" s="9" t="s">
        <v>194</v>
      </c>
      <c r="C112" s="10">
        <v>682.2</v>
      </c>
      <c r="D112" s="10">
        <v>125</v>
      </c>
      <c r="E112" s="10">
        <f t="shared" si="3"/>
        <v>807.2</v>
      </c>
      <c r="H112" s="10">
        <v>807.2</v>
      </c>
    </row>
    <row r="113" spans="1:8">
      <c r="A113" s="9">
        <v>889</v>
      </c>
      <c r="B113" s="9" t="s">
        <v>193</v>
      </c>
      <c r="C113" s="10">
        <v>689.52</v>
      </c>
      <c r="D113" s="10">
        <v>-689.52</v>
      </c>
      <c r="E113" s="10">
        <f t="shared" si="3"/>
        <v>0</v>
      </c>
      <c r="H113" s="10">
        <v>682.93999999999994</v>
      </c>
    </row>
    <row r="114" spans="1:8">
      <c r="A114" s="9">
        <v>709</v>
      </c>
      <c r="B114" s="9" t="s">
        <v>192</v>
      </c>
      <c r="C114" s="10">
        <v>10</v>
      </c>
      <c r="D114" s="10">
        <v>0</v>
      </c>
      <c r="E114" s="10">
        <f t="shared" si="3"/>
        <v>10</v>
      </c>
      <c r="H114" s="10">
        <v>10</v>
      </c>
    </row>
    <row r="115" spans="1:8">
      <c r="A115" s="9">
        <v>295</v>
      </c>
      <c r="B115" s="9" t="s">
        <v>191</v>
      </c>
      <c r="C115" s="10">
        <v>420.5</v>
      </c>
      <c r="D115" s="10">
        <v>56.55</v>
      </c>
      <c r="E115" s="10">
        <f t="shared" si="3"/>
        <v>477.05</v>
      </c>
      <c r="F115" s="10">
        <f>E115-H115</f>
        <v>56.550000000000011</v>
      </c>
      <c r="H115" s="10">
        <v>420.5</v>
      </c>
    </row>
    <row r="116" spans="1:8">
      <c r="A116" s="9">
        <v>272</v>
      </c>
      <c r="B116" s="9" t="s">
        <v>190</v>
      </c>
      <c r="C116" s="10">
        <v>2293.13</v>
      </c>
      <c r="D116" s="10">
        <v>-2193.13</v>
      </c>
      <c r="E116" s="10">
        <f t="shared" si="3"/>
        <v>100</v>
      </c>
      <c r="H116" s="10">
        <v>11658.79</v>
      </c>
    </row>
    <row r="117" spans="1:8">
      <c r="A117" s="9">
        <v>273</v>
      </c>
      <c r="B117" s="9" t="s">
        <v>189</v>
      </c>
      <c r="C117" s="10">
        <v>4419.21</v>
      </c>
      <c r="D117" s="10">
        <v>-4419.21</v>
      </c>
      <c r="E117" s="10">
        <f t="shared" si="3"/>
        <v>0</v>
      </c>
      <c r="H117" s="10">
        <v>0</v>
      </c>
    </row>
    <row r="118" spans="1:8">
      <c r="A118" s="9">
        <v>728</v>
      </c>
      <c r="B118" s="9" t="s">
        <v>188</v>
      </c>
      <c r="C118" s="10">
        <v>116.85</v>
      </c>
      <c r="D118" s="10">
        <v>8.1499999999999897</v>
      </c>
      <c r="E118" s="10">
        <f t="shared" si="3"/>
        <v>124.99999999999999</v>
      </c>
      <c r="H118" s="10">
        <v>241.85</v>
      </c>
    </row>
    <row r="119" spans="1:8">
      <c r="A119" s="9">
        <v>311</v>
      </c>
      <c r="B119" s="9" t="s">
        <v>187</v>
      </c>
      <c r="C119" s="10">
        <v>1512.08</v>
      </c>
      <c r="D119" s="10">
        <v>-1512.08</v>
      </c>
      <c r="E119" s="10">
        <f t="shared" si="3"/>
        <v>0</v>
      </c>
      <c r="H119" s="10">
        <v>1512.08</v>
      </c>
    </row>
    <row r="120" spans="1:8">
      <c r="A120" s="9">
        <v>281</v>
      </c>
      <c r="B120" s="9" t="s">
        <v>186</v>
      </c>
      <c r="C120" s="10">
        <v>5592.47</v>
      </c>
      <c r="D120" s="10">
        <v>-5592.47</v>
      </c>
      <c r="E120" s="10">
        <f t="shared" si="3"/>
        <v>0</v>
      </c>
      <c r="H120" s="10">
        <v>0.27000000000043656</v>
      </c>
    </row>
    <row r="121" spans="1:8">
      <c r="A121" s="9">
        <v>282</v>
      </c>
      <c r="B121" s="9" t="s">
        <v>185</v>
      </c>
      <c r="C121" s="10">
        <v>270.79000000000002</v>
      </c>
      <c r="D121" s="10">
        <v>-255.79</v>
      </c>
      <c r="E121" s="10">
        <f t="shared" si="3"/>
        <v>15.000000000000028</v>
      </c>
      <c r="H121" s="10">
        <v>139.27000000000001</v>
      </c>
    </row>
    <row r="122" spans="1:8">
      <c r="A122" s="9">
        <v>285</v>
      </c>
      <c r="B122" s="9" t="s">
        <v>184</v>
      </c>
      <c r="C122" s="10">
        <v>7004.44</v>
      </c>
      <c r="D122" s="10">
        <v>-7004.44</v>
      </c>
      <c r="E122" s="10">
        <f t="shared" si="3"/>
        <v>0</v>
      </c>
      <c r="H122" s="10">
        <v>182.91999999999916</v>
      </c>
    </row>
    <row r="123" spans="1:8">
      <c r="A123" s="9">
        <v>305</v>
      </c>
      <c r="B123" s="9" t="s">
        <v>183</v>
      </c>
      <c r="C123" s="10">
        <v>2618.75</v>
      </c>
      <c r="D123" s="10">
        <v>-2618.75</v>
      </c>
      <c r="E123" s="10">
        <f t="shared" si="3"/>
        <v>0</v>
      </c>
      <c r="H123" s="10">
        <v>2618.75</v>
      </c>
    </row>
    <row r="124" spans="1:8">
      <c r="A124" s="9">
        <v>679</v>
      </c>
      <c r="B124" s="9" t="s">
        <v>182</v>
      </c>
      <c r="C124" s="10">
        <v>551.23</v>
      </c>
      <c r="D124" s="10">
        <v>-541.23</v>
      </c>
      <c r="E124" s="10">
        <f t="shared" si="3"/>
        <v>10</v>
      </c>
      <c r="H124" s="10">
        <v>302.48</v>
      </c>
    </row>
    <row r="125" spans="1:8">
      <c r="A125" s="9">
        <v>296</v>
      </c>
      <c r="B125" s="9" t="s">
        <v>181</v>
      </c>
      <c r="C125" s="10">
        <v>1231.44</v>
      </c>
      <c r="D125" s="10">
        <v>-985.33</v>
      </c>
      <c r="E125" s="10">
        <f t="shared" si="3"/>
        <v>246.11</v>
      </c>
      <c r="H125" s="10">
        <v>246.11</v>
      </c>
    </row>
    <row r="126" spans="1:8">
      <c r="A126" s="9">
        <v>304</v>
      </c>
      <c r="B126" s="9" t="s">
        <v>180</v>
      </c>
      <c r="C126" s="10">
        <v>633.66999999999996</v>
      </c>
      <c r="D126" s="10">
        <v>-503.67</v>
      </c>
      <c r="E126" s="10">
        <f t="shared" si="3"/>
        <v>129.99999999999994</v>
      </c>
      <c r="H126" s="10">
        <v>763.67</v>
      </c>
    </row>
    <row r="127" spans="1:8">
      <c r="A127" s="9">
        <v>287</v>
      </c>
      <c r="B127" s="9" t="s">
        <v>179</v>
      </c>
      <c r="C127" s="10">
        <v>3100.63</v>
      </c>
      <c r="D127" s="10">
        <v>-3100.63</v>
      </c>
      <c r="E127" s="10">
        <f t="shared" si="3"/>
        <v>0</v>
      </c>
      <c r="H127" s="10">
        <v>0</v>
      </c>
    </row>
    <row r="128" spans="1:8">
      <c r="A128" s="9">
        <v>712</v>
      </c>
      <c r="B128" s="9" t="s">
        <v>178</v>
      </c>
      <c r="C128" s="10">
        <v>0</v>
      </c>
      <c r="D128" s="10">
        <v>20</v>
      </c>
      <c r="E128" s="10">
        <f t="shared" si="3"/>
        <v>20</v>
      </c>
      <c r="H128" s="10">
        <v>20</v>
      </c>
    </row>
    <row r="129" spans="1:8">
      <c r="A129" s="9">
        <v>704</v>
      </c>
      <c r="B129" s="9" t="s">
        <v>177</v>
      </c>
      <c r="C129" s="10">
        <v>33.61</v>
      </c>
      <c r="D129" s="10">
        <v>0</v>
      </c>
      <c r="E129" s="10">
        <f t="shared" si="3"/>
        <v>33.61</v>
      </c>
      <c r="H129" s="10">
        <v>33.61</v>
      </c>
    </row>
    <row r="130" spans="1:8">
      <c r="A130" s="9">
        <v>708</v>
      </c>
      <c r="B130" s="9" t="s">
        <v>176</v>
      </c>
      <c r="C130" s="10">
        <v>344.25</v>
      </c>
      <c r="D130" s="10">
        <v>-344.25</v>
      </c>
      <c r="E130" s="10">
        <f t="shared" ref="E130:E161" si="4">IF(C130+D130&gt;0, C130+D130, 0)</f>
        <v>0</v>
      </c>
      <c r="H130" s="10">
        <v>519.54999999999995</v>
      </c>
    </row>
    <row r="131" spans="1:8">
      <c r="A131" s="9">
        <v>1035</v>
      </c>
      <c r="B131" s="9" t="s">
        <v>175</v>
      </c>
      <c r="C131" s="10">
        <v>3.3</v>
      </c>
      <c r="D131" s="10">
        <v>0</v>
      </c>
      <c r="E131" s="10">
        <f t="shared" si="4"/>
        <v>3.3</v>
      </c>
      <c r="H131" s="10">
        <v>3.3</v>
      </c>
    </row>
    <row r="132" spans="1:8">
      <c r="A132" s="9">
        <v>1036</v>
      </c>
      <c r="B132" s="9" t="s">
        <v>174</v>
      </c>
      <c r="C132" s="10">
        <v>51.12</v>
      </c>
      <c r="D132" s="10">
        <v>759.09</v>
      </c>
      <c r="E132" s="10">
        <f t="shared" si="4"/>
        <v>810.21</v>
      </c>
      <c r="F132" s="10">
        <f>E132-H132</f>
        <v>600</v>
      </c>
      <c r="H132" s="10">
        <v>210.21</v>
      </c>
    </row>
    <row r="133" spans="1:8">
      <c r="A133" s="9">
        <v>707</v>
      </c>
      <c r="B133" s="9" t="s">
        <v>173</v>
      </c>
      <c r="C133" s="10">
        <v>79.75</v>
      </c>
      <c r="D133" s="10">
        <v>200</v>
      </c>
      <c r="E133" s="10">
        <f t="shared" si="4"/>
        <v>279.75</v>
      </c>
      <c r="H133" s="10">
        <v>279.75</v>
      </c>
    </row>
    <row r="134" spans="1:8">
      <c r="A134" s="9">
        <v>307</v>
      </c>
      <c r="B134" s="9" t="s">
        <v>172</v>
      </c>
      <c r="C134" s="10">
        <v>41.25</v>
      </c>
      <c r="D134" s="10">
        <v>0</v>
      </c>
      <c r="E134" s="10">
        <f t="shared" si="4"/>
        <v>41.25</v>
      </c>
      <c r="H134" s="10">
        <v>41.25</v>
      </c>
    </row>
    <row r="135" spans="1:8">
      <c r="A135" s="9">
        <v>288</v>
      </c>
      <c r="B135" s="9" t="s">
        <v>171</v>
      </c>
      <c r="C135" s="10">
        <v>6066.63</v>
      </c>
      <c r="D135" s="10">
        <v>-6066.63</v>
      </c>
      <c r="E135" s="10">
        <f t="shared" si="4"/>
        <v>0</v>
      </c>
      <c r="H135" s="10">
        <v>101.11999999999989</v>
      </c>
    </row>
    <row r="136" spans="1:8">
      <c r="A136" s="9">
        <v>1106</v>
      </c>
      <c r="B136" s="9" t="s">
        <v>170</v>
      </c>
      <c r="C136" s="10">
        <v>2.35</v>
      </c>
      <c r="D136" s="10">
        <v>0</v>
      </c>
      <c r="E136" s="10">
        <f t="shared" si="4"/>
        <v>2.35</v>
      </c>
      <c r="H136" s="10">
        <v>2.35</v>
      </c>
    </row>
    <row r="137" spans="1:8">
      <c r="A137" s="9">
        <v>292</v>
      </c>
      <c r="B137" s="9" t="s">
        <v>169</v>
      </c>
      <c r="C137" s="10">
        <v>317.55</v>
      </c>
      <c r="D137" s="10">
        <v>-301.60000000000002</v>
      </c>
      <c r="E137" s="10">
        <f t="shared" si="4"/>
        <v>15.949999999999989</v>
      </c>
      <c r="H137" s="10">
        <v>397.05</v>
      </c>
    </row>
    <row r="138" spans="1:8">
      <c r="A138" s="9">
        <v>298</v>
      </c>
      <c r="B138" s="9" t="s">
        <v>168</v>
      </c>
      <c r="C138" s="10">
        <v>146.25</v>
      </c>
      <c r="D138" s="10">
        <v>-146.25</v>
      </c>
      <c r="E138" s="10">
        <f t="shared" si="4"/>
        <v>0</v>
      </c>
      <c r="H138" s="10">
        <v>146.25</v>
      </c>
    </row>
    <row r="139" spans="1:8">
      <c r="A139" s="9">
        <v>662</v>
      </c>
      <c r="B139" s="9" t="s">
        <v>167</v>
      </c>
      <c r="C139" s="10">
        <v>0</v>
      </c>
      <c r="D139" s="10">
        <v>1535.6</v>
      </c>
      <c r="E139" s="10">
        <f t="shared" si="4"/>
        <v>1535.6</v>
      </c>
      <c r="H139" s="10">
        <v>1535.6</v>
      </c>
    </row>
    <row r="140" spans="1:8">
      <c r="A140" s="9">
        <v>1040</v>
      </c>
      <c r="B140" s="9" t="s">
        <v>166</v>
      </c>
      <c r="C140" s="10">
        <v>245.58</v>
      </c>
      <c r="D140" s="10">
        <v>-106.02</v>
      </c>
      <c r="E140" s="10">
        <f t="shared" si="4"/>
        <v>139.56</v>
      </c>
      <c r="H140" s="10">
        <v>139.56</v>
      </c>
    </row>
    <row r="141" spans="1:8">
      <c r="A141" s="9">
        <v>286</v>
      </c>
      <c r="B141" s="9" t="s">
        <v>165</v>
      </c>
      <c r="C141" s="10">
        <v>300.11</v>
      </c>
      <c r="D141" s="10">
        <v>-300.11</v>
      </c>
      <c r="E141" s="10">
        <f t="shared" si="4"/>
        <v>0</v>
      </c>
      <c r="H141" s="10">
        <v>300.11</v>
      </c>
    </row>
    <row r="142" spans="1:8">
      <c r="A142" s="9">
        <v>293</v>
      </c>
      <c r="B142" s="9" t="s">
        <v>164</v>
      </c>
      <c r="C142" s="10">
        <v>2202.42</v>
      </c>
      <c r="D142" s="10">
        <v>-2202.42</v>
      </c>
      <c r="E142" s="10">
        <f t="shared" si="4"/>
        <v>0</v>
      </c>
      <c r="H142" s="10">
        <v>2202.92</v>
      </c>
    </row>
    <row r="143" spans="1:8">
      <c r="A143" s="9">
        <v>306</v>
      </c>
      <c r="B143" s="9" t="s">
        <v>163</v>
      </c>
      <c r="C143" s="10">
        <v>355.88</v>
      </c>
      <c r="D143" s="10">
        <v>0</v>
      </c>
      <c r="E143" s="10">
        <f t="shared" si="4"/>
        <v>355.88</v>
      </c>
      <c r="H143" s="10">
        <v>355.88</v>
      </c>
    </row>
    <row r="144" spans="1:8">
      <c r="A144" s="9">
        <v>1117</v>
      </c>
      <c r="B144" s="9" t="s">
        <v>162</v>
      </c>
      <c r="C144" s="10">
        <v>1427.96</v>
      </c>
      <c r="D144" s="10">
        <v>-768.15</v>
      </c>
      <c r="E144" s="10">
        <f t="shared" si="4"/>
        <v>659.81000000000006</v>
      </c>
      <c r="H144" s="10">
        <v>1490.31</v>
      </c>
    </row>
    <row r="145" spans="1:8">
      <c r="A145" s="9">
        <v>283</v>
      </c>
      <c r="B145" s="9" t="s">
        <v>161</v>
      </c>
      <c r="C145" s="10">
        <v>4884.37</v>
      </c>
      <c r="D145" s="10">
        <v>-4775.1499999999996</v>
      </c>
      <c r="E145" s="10">
        <f t="shared" si="4"/>
        <v>109.22000000000025</v>
      </c>
      <c r="H145" s="10">
        <v>2807.44</v>
      </c>
    </row>
    <row r="146" spans="1:8">
      <c r="A146" s="9">
        <v>355</v>
      </c>
      <c r="B146" s="9" t="s">
        <v>160</v>
      </c>
      <c r="C146" s="10">
        <v>708.4</v>
      </c>
      <c r="D146" s="10">
        <v>15</v>
      </c>
      <c r="E146" s="10">
        <f t="shared" si="4"/>
        <v>723.4</v>
      </c>
      <c r="F146" s="10">
        <f>SUM(E104:E146)-SUM(F104:F145)</f>
        <v>8123.2400000000007</v>
      </c>
      <c r="H146" s="10">
        <v>723.4</v>
      </c>
    </row>
    <row r="147" spans="1:8">
      <c r="A147" s="9">
        <v>1191</v>
      </c>
      <c r="B147" s="9" t="s">
        <v>159</v>
      </c>
      <c r="C147" s="10">
        <v>0</v>
      </c>
      <c r="D147" s="10">
        <v>15</v>
      </c>
      <c r="E147" s="10">
        <f t="shared" si="4"/>
        <v>15</v>
      </c>
      <c r="H147" s="10">
        <v>15</v>
      </c>
    </row>
    <row r="148" spans="1:8">
      <c r="A148" s="9">
        <v>743</v>
      </c>
      <c r="B148" s="9" t="s">
        <v>158</v>
      </c>
      <c r="C148" s="10">
        <v>0</v>
      </c>
      <c r="D148" s="10">
        <v>45</v>
      </c>
      <c r="E148" s="10">
        <f t="shared" si="4"/>
        <v>45</v>
      </c>
      <c r="H148" s="10">
        <v>45</v>
      </c>
    </row>
    <row r="149" spans="1:8">
      <c r="A149" s="9">
        <v>729</v>
      </c>
      <c r="B149" s="9" t="s">
        <v>157</v>
      </c>
      <c r="C149" s="10">
        <v>0</v>
      </c>
      <c r="D149" s="10">
        <v>30</v>
      </c>
      <c r="E149" s="10">
        <f t="shared" si="4"/>
        <v>30</v>
      </c>
      <c r="H149" s="10">
        <v>30</v>
      </c>
    </row>
    <row r="150" spans="1:8">
      <c r="A150" s="9">
        <v>1065</v>
      </c>
      <c r="B150" s="9" t="s">
        <v>156</v>
      </c>
      <c r="C150" s="10">
        <v>0</v>
      </c>
      <c r="D150" s="10">
        <v>30</v>
      </c>
      <c r="E150" s="10">
        <f t="shared" si="4"/>
        <v>30</v>
      </c>
      <c r="H150" s="10">
        <v>30</v>
      </c>
    </row>
    <row r="151" spans="1:8">
      <c r="A151" s="9">
        <v>898</v>
      </c>
      <c r="B151" s="9" t="s">
        <v>155</v>
      </c>
      <c r="C151" s="10">
        <v>300</v>
      </c>
      <c r="D151" s="10">
        <v>0</v>
      </c>
      <c r="E151" s="10">
        <f t="shared" si="4"/>
        <v>300</v>
      </c>
      <c r="H151" s="10">
        <v>300</v>
      </c>
    </row>
    <row r="152" spans="1:8">
      <c r="A152" s="9">
        <v>1105</v>
      </c>
      <c r="B152" s="9" t="s">
        <v>154</v>
      </c>
      <c r="C152" s="10">
        <v>0</v>
      </c>
      <c r="D152" s="10">
        <v>10</v>
      </c>
      <c r="E152" s="10">
        <f t="shared" si="4"/>
        <v>10</v>
      </c>
      <c r="H152" s="10">
        <v>10</v>
      </c>
    </row>
    <row r="153" spans="1:8">
      <c r="A153" s="9">
        <v>736</v>
      </c>
      <c r="B153" s="9" t="s">
        <v>153</v>
      </c>
      <c r="C153" s="10">
        <v>0</v>
      </c>
      <c r="D153" s="10">
        <v>125</v>
      </c>
      <c r="E153" s="10">
        <f t="shared" si="4"/>
        <v>125</v>
      </c>
      <c r="H153" s="10">
        <v>125</v>
      </c>
    </row>
    <row r="154" spans="1:8">
      <c r="A154" s="9">
        <v>1145</v>
      </c>
      <c r="B154" s="9" t="s">
        <v>152</v>
      </c>
      <c r="C154" s="10">
        <v>0</v>
      </c>
      <c r="D154" s="10">
        <v>3</v>
      </c>
      <c r="E154" s="10">
        <f t="shared" si="4"/>
        <v>3</v>
      </c>
      <c r="H154" s="10">
        <v>3</v>
      </c>
    </row>
    <row r="155" spans="1:8">
      <c r="A155" s="9">
        <v>98</v>
      </c>
      <c r="B155" s="9" t="s">
        <v>151</v>
      </c>
      <c r="C155" s="10">
        <v>684.75</v>
      </c>
      <c r="D155" s="10">
        <v>-631.73</v>
      </c>
      <c r="E155" s="10">
        <f t="shared" si="4"/>
        <v>53.019999999999982</v>
      </c>
      <c r="H155" s="10">
        <v>53.019999999999982</v>
      </c>
    </row>
    <row r="156" spans="1:8">
      <c r="A156" s="9">
        <v>941</v>
      </c>
      <c r="B156" s="9" t="s">
        <v>150</v>
      </c>
      <c r="C156" s="10">
        <v>22.69</v>
      </c>
      <c r="D156" s="10">
        <v>55</v>
      </c>
      <c r="E156" s="10">
        <f t="shared" si="4"/>
        <v>77.69</v>
      </c>
      <c r="H156" s="10">
        <v>77.69</v>
      </c>
    </row>
    <row r="157" spans="1:8">
      <c r="A157" s="9">
        <v>111</v>
      </c>
      <c r="B157" s="9" t="s">
        <v>149</v>
      </c>
      <c r="C157" s="10">
        <v>290.5</v>
      </c>
      <c r="D157" s="10">
        <v>-270.37</v>
      </c>
      <c r="E157" s="10">
        <f t="shared" si="4"/>
        <v>20.129999999999995</v>
      </c>
      <c r="H157" s="10">
        <v>205.37</v>
      </c>
    </row>
    <row r="158" spans="1:8">
      <c r="A158" s="9">
        <v>1119</v>
      </c>
      <c r="B158" s="9" t="s">
        <v>148</v>
      </c>
      <c r="C158" s="10">
        <v>0</v>
      </c>
      <c r="D158" s="10">
        <v>50</v>
      </c>
      <c r="E158" s="10">
        <f t="shared" si="4"/>
        <v>50</v>
      </c>
      <c r="H158" s="10">
        <v>50</v>
      </c>
    </row>
    <row r="159" spans="1:8">
      <c r="A159" s="9">
        <v>545</v>
      </c>
      <c r="B159" s="9" t="s">
        <v>147</v>
      </c>
      <c r="C159" s="10">
        <v>943.25</v>
      </c>
      <c r="D159" s="10">
        <v>-825</v>
      </c>
      <c r="E159" s="10">
        <f t="shared" si="4"/>
        <v>118.25</v>
      </c>
      <c r="H159" s="10">
        <v>118.25</v>
      </c>
    </row>
    <row r="160" spans="1:8">
      <c r="A160" s="9">
        <v>573</v>
      </c>
      <c r="B160" s="9" t="s">
        <v>146</v>
      </c>
      <c r="C160" s="10">
        <v>0</v>
      </c>
      <c r="D160" s="10">
        <v>50</v>
      </c>
      <c r="E160" s="10">
        <f t="shared" si="4"/>
        <v>50</v>
      </c>
      <c r="H160" s="10">
        <v>50</v>
      </c>
    </row>
    <row r="161" spans="1:8">
      <c r="A161" s="9">
        <v>909</v>
      </c>
      <c r="B161" s="9" t="s">
        <v>145</v>
      </c>
      <c r="C161" s="10">
        <v>76.02</v>
      </c>
      <c r="D161" s="10">
        <v>-76.02</v>
      </c>
      <c r="E161" s="10">
        <f t="shared" si="4"/>
        <v>0</v>
      </c>
      <c r="H161" s="10">
        <v>0</v>
      </c>
    </row>
    <row r="162" spans="1:8">
      <c r="A162" s="9">
        <v>1024</v>
      </c>
      <c r="B162" s="9" t="s">
        <v>144</v>
      </c>
      <c r="C162" s="10">
        <v>21.45</v>
      </c>
      <c r="D162" s="10">
        <v>0</v>
      </c>
      <c r="E162" s="10">
        <f t="shared" ref="E162:E175" si="5">IF(C162+D162&gt;0, C162+D162, 0)</f>
        <v>21.45</v>
      </c>
      <c r="H162" s="10">
        <v>21.45</v>
      </c>
    </row>
    <row r="163" spans="1:8">
      <c r="A163" s="9">
        <v>259</v>
      </c>
      <c r="B163" s="9" t="s">
        <v>143</v>
      </c>
      <c r="C163" s="10">
        <v>88.76</v>
      </c>
      <c r="D163" s="10">
        <v>-38.770000000000003</v>
      </c>
      <c r="E163" s="10">
        <f t="shared" si="5"/>
        <v>49.99</v>
      </c>
      <c r="H163" s="10">
        <v>93.76</v>
      </c>
    </row>
    <row r="164" spans="1:8">
      <c r="A164" s="9">
        <v>1115</v>
      </c>
      <c r="B164" s="9" t="s">
        <v>142</v>
      </c>
      <c r="C164" s="10">
        <v>26.4</v>
      </c>
      <c r="D164" s="10">
        <v>15</v>
      </c>
      <c r="E164" s="10">
        <f t="shared" si="5"/>
        <v>41.4</v>
      </c>
      <c r="H164" s="10">
        <v>41.4</v>
      </c>
    </row>
    <row r="165" spans="1:8">
      <c r="A165" s="9">
        <v>877</v>
      </c>
      <c r="B165" s="9" t="s">
        <v>141</v>
      </c>
      <c r="C165" s="10">
        <v>0</v>
      </c>
      <c r="D165" s="10">
        <v>30</v>
      </c>
      <c r="E165" s="10">
        <f t="shared" si="5"/>
        <v>30</v>
      </c>
      <c r="H165" s="10">
        <v>30</v>
      </c>
    </row>
    <row r="166" spans="1:8">
      <c r="A166" s="9">
        <v>100</v>
      </c>
      <c r="B166" s="9" t="s">
        <v>140</v>
      </c>
      <c r="C166" s="10">
        <v>12.93</v>
      </c>
      <c r="D166" s="10">
        <v>80.989999999999995</v>
      </c>
      <c r="E166" s="10">
        <f t="shared" si="5"/>
        <v>93.919999999999987</v>
      </c>
      <c r="F166" s="10">
        <f>E166-H166</f>
        <v>13</v>
      </c>
      <c r="H166" s="10">
        <v>80.919999999999987</v>
      </c>
    </row>
    <row r="167" spans="1:8">
      <c r="A167" s="9">
        <v>71</v>
      </c>
      <c r="B167" s="9" t="s">
        <v>139</v>
      </c>
      <c r="C167" s="10">
        <v>71.5</v>
      </c>
      <c r="D167" s="10">
        <v>20</v>
      </c>
      <c r="E167" s="10">
        <f t="shared" si="5"/>
        <v>91.5</v>
      </c>
      <c r="H167" s="10">
        <v>91.5</v>
      </c>
    </row>
    <row r="168" spans="1:8">
      <c r="A168" s="9">
        <v>1187</v>
      </c>
      <c r="B168" s="9" t="s">
        <v>138</v>
      </c>
      <c r="C168" s="10">
        <v>0</v>
      </c>
      <c r="D168" s="10">
        <v>20</v>
      </c>
      <c r="E168" s="10">
        <f t="shared" si="5"/>
        <v>20</v>
      </c>
      <c r="H168" s="10">
        <v>20</v>
      </c>
    </row>
    <row r="169" spans="1:8">
      <c r="A169" s="9">
        <v>1015</v>
      </c>
      <c r="B169" s="9" t="s">
        <v>137</v>
      </c>
      <c r="C169" s="10">
        <v>0</v>
      </c>
      <c r="D169" s="10">
        <v>40</v>
      </c>
      <c r="E169" s="10">
        <f t="shared" si="5"/>
        <v>40</v>
      </c>
      <c r="H169" s="10">
        <v>40</v>
      </c>
    </row>
    <row r="170" spans="1:8">
      <c r="A170" s="9">
        <v>1179</v>
      </c>
      <c r="B170" s="9" t="s">
        <v>136</v>
      </c>
      <c r="C170" s="10">
        <v>0</v>
      </c>
      <c r="D170" s="10">
        <v>13</v>
      </c>
      <c r="E170" s="10">
        <f t="shared" si="5"/>
        <v>13</v>
      </c>
      <c r="H170" s="10">
        <v>13</v>
      </c>
    </row>
    <row r="171" spans="1:8">
      <c r="A171" s="9">
        <v>1014</v>
      </c>
      <c r="B171" s="9" t="s">
        <v>135</v>
      </c>
      <c r="C171" s="10">
        <v>10</v>
      </c>
      <c r="D171" s="10">
        <v>0</v>
      </c>
      <c r="E171" s="10">
        <f t="shared" si="5"/>
        <v>10</v>
      </c>
      <c r="F171" s="10">
        <f>SUM(E147:E171)-F166</f>
        <v>1325.3500000000001</v>
      </c>
      <c r="H171" s="10">
        <v>10</v>
      </c>
    </row>
    <row r="172" spans="1:8">
      <c r="A172" s="9">
        <v>899</v>
      </c>
      <c r="B172" s="9" t="s">
        <v>134</v>
      </c>
      <c r="C172" s="10">
        <v>0</v>
      </c>
      <c r="D172" s="10">
        <v>75</v>
      </c>
      <c r="E172" s="10">
        <f t="shared" si="5"/>
        <v>75</v>
      </c>
      <c r="H172" s="10">
        <v>75</v>
      </c>
    </row>
    <row r="173" spans="1:8">
      <c r="A173" s="9">
        <v>1192</v>
      </c>
      <c r="B173" s="9" t="s">
        <v>133</v>
      </c>
      <c r="C173" s="10">
        <v>0</v>
      </c>
      <c r="D173" s="10">
        <v>20</v>
      </c>
      <c r="E173" s="10">
        <f t="shared" si="5"/>
        <v>20</v>
      </c>
      <c r="H173" s="10">
        <v>20</v>
      </c>
    </row>
    <row r="174" spans="1:8">
      <c r="A174" s="9">
        <v>1176</v>
      </c>
      <c r="B174" s="9" t="s">
        <v>132</v>
      </c>
      <c r="C174" s="10">
        <v>0</v>
      </c>
      <c r="D174" s="10">
        <v>10</v>
      </c>
      <c r="E174" s="10">
        <f t="shared" si="5"/>
        <v>10</v>
      </c>
      <c r="H174" s="10">
        <v>10</v>
      </c>
    </row>
    <row r="175" spans="1:8">
      <c r="A175" s="9">
        <v>1137</v>
      </c>
      <c r="B175" s="9" t="s">
        <v>131</v>
      </c>
      <c r="C175" s="10">
        <v>0</v>
      </c>
      <c r="D175" s="10">
        <v>20</v>
      </c>
      <c r="E175" s="10">
        <f t="shared" si="5"/>
        <v>20</v>
      </c>
      <c r="F175" s="10">
        <f>SUM(E172:E175)</f>
        <v>125</v>
      </c>
      <c r="H175" s="10">
        <v>20</v>
      </c>
    </row>
    <row r="176" spans="1:8">
      <c r="A176" s="9">
        <v>253</v>
      </c>
      <c r="B176" s="9" t="s">
        <v>130</v>
      </c>
      <c r="C176" s="10">
        <v>436.7</v>
      </c>
      <c r="D176" s="10">
        <v>-97.06</v>
      </c>
      <c r="E176" s="10">
        <v>339.64</v>
      </c>
      <c r="H176" s="10">
        <v>419.64</v>
      </c>
    </row>
    <row r="177" spans="1:8">
      <c r="A177" s="9">
        <v>252</v>
      </c>
      <c r="B177" s="9" t="s">
        <v>129</v>
      </c>
      <c r="C177" s="10">
        <v>802.09</v>
      </c>
      <c r="D177" s="10">
        <v>-469.83</v>
      </c>
      <c r="E177" s="10">
        <v>332.26000000000005</v>
      </c>
      <c r="H177" s="10">
        <v>332.26000000000005</v>
      </c>
    </row>
    <row r="178" spans="1:8">
      <c r="A178" s="9">
        <v>255</v>
      </c>
      <c r="B178" s="9" t="s">
        <v>128</v>
      </c>
      <c r="C178" s="10">
        <v>611.5</v>
      </c>
      <c r="D178" s="10">
        <v>681.5</v>
      </c>
      <c r="E178" s="10">
        <v>1293</v>
      </c>
      <c r="F178" s="10">
        <f>E178-H178</f>
        <v>646.5</v>
      </c>
      <c r="G178" s="10"/>
      <c r="H178" s="10">
        <v>646.5</v>
      </c>
    </row>
    <row r="179" spans="1:8">
      <c r="A179" s="9">
        <v>703</v>
      </c>
      <c r="B179" s="9" t="s">
        <v>127</v>
      </c>
      <c r="C179" s="10">
        <v>1645.8</v>
      </c>
      <c r="D179" s="10">
        <v>-1645.8</v>
      </c>
      <c r="E179" s="10">
        <v>0</v>
      </c>
      <c r="H179" s="10">
        <v>462.83999999999992</v>
      </c>
    </row>
    <row r="180" spans="1:8">
      <c r="A180" s="9">
        <v>256</v>
      </c>
      <c r="B180" s="9" t="s">
        <v>126</v>
      </c>
      <c r="C180" s="10">
        <v>350</v>
      </c>
      <c r="D180" s="10">
        <v>25</v>
      </c>
      <c r="E180" s="10">
        <v>375</v>
      </c>
      <c r="H180" s="10">
        <v>375</v>
      </c>
    </row>
    <row r="181" spans="1:8">
      <c r="A181" s="9">
        <v>257</v>
      </c>
      <c r="B181" s="9" t="s">
        <v>125</v>
      </c>
      <c r="C181" s="10">
        <v>115</v>
      </c>
      <c r="D181" s="10">
        <v>102.05</v>
      </c>
      <c r="E181" s="10">
        <v>217.05</v>
      </c>
      <c r="H181" s="10">
        <v>217.05</v>
      </c>
    </row>
    <row r="182" spans="1:8">
      <c r="A182" s="9">
        <v>1100</v>
      </c>
      <c r="B182" s="9" t="s">
        <v>124</v>
      </c>
      <c r="C182" s="10">
        <v>415.98</v>
      </c>
      <c r="D182" s="10">
        <v>0</v>
      </c>
      <c r="E182" s="10">
        <v>415.98</v>
      </c>
      <c r="F182" s="10">
        <f>SUM(E176:E182)-F178</f>
        <v>2326.4300000000003</v>
      </c>
      <c r="H182" s="10">
        <v>415.98</v>
      </c>
    </row>
    <row r="183" spans="1:8">
      <c r="A183" s="9">
        <v>89</v>
      </c>
      <c r="B183" s="9" t="s">
        <v>123</v>
      </c>
      <c r="C183" s="10">
        <v>361.52</v>
      </c>
      <c r="D183" s="10">
        <v>-351.52</v>
      </c>
      <c r="E183" s="10">
        <f t="shared" ref="E183:E214" si="6">IF(C183+D183&gt;0, C183+D183, 0)</f>
        <v>10</v>
      </c>
      <c r="H183" s="10">
        <v>32.95999999999998</v>
      </c>
    </row>
    <row r="184" spans="1:8">
      <c r="A184" s="9">
        <v>91</v>
      </c>
      <c r="B184" s="9" t="s">
        <v>122</v>
      </c>
      <c r="C184" s="10">
        <v>40.1</v>
      </c>
      <c r="D184" s="10">
        <v>6.06</v>
      </c>
      <c r="E184" s="10">
        <f t="shared" si="6"/>
        <v>46.160000000000004</v>
      </c>
      <c r="H184" s="10">
        <v>88.78</v>
      </c>
    </row>
    <row r="185" spans="1:8">
      <c r="A185" s="9">
        <v>92</v>
      </c>
      <c r="B185" s="9" t="s">
        <v>121</v>
      </c>
      <c r="C185" s="10">
        <v>1150</v>
      </c>
      <c r="D185" s="10">
        <v>-1105</v>
      </c>
      <c r="E185" s="10">
        <f t="shared" si="6"/>
        <v>45</v>
      </c>
      <c r="H185" s="10">
        <v>1192</v>
      </c>
    </row>
    <row r="186" spans="1:8">
      <c r="A186" s="9">
        <v>767</v>
      </c>
      <c r="B186" s="9" t="s">
        <v>120</v>
      </c>
      <c r="C186" s="10">
        <v>225</v>
      </c>
      <c r="D186" s="10">
        <v>-225</v>
      </c>
      <c r="E186" s="10">
        <f t="shared" si="6"/>
        <v>0</v>
      </c>
      <c r="H186" s="10">
        <v>225</v>
      </c>
    </row>
    <row r="187" spans="1:8">
      <c r="A187" s="9">
        <v>672</v>
      </c>
      <c r="B187" s="9" t="s">
        <v>119</v>
      </c>
      <c r="C187" s="10">
        <v>14.82</v>
      </c>
      <c r="D187" s="10">
        <v>3</v>
      </c>
      <c r="E187" s="10">
        <f t="shared" si="6"/>
        <v>17.82</v>
      </c>
      <c r="H187" s="10">
        <v>17.82</v>
      </c>
    </row>
    <row r="188" spans="1:8">
      <c r="A188" s="9">
        <v>809</v>
      </c>
      <c r="B188" s="9" t="s">
        <v>118</v>
      </c>
      <c r="C188" s="10">
        <v>0.99000000000000199</v>
      </c>
      <c r="D188" s="10">
        <v>0</v>
      </c>
      <c r="E188" s="10">
        <f t="shared" si="6"/>
        <v>0.99000000000000199</v>
      </c>
      <c r="H188" s="10">
        <v>0.99000000000000199</v>
      </c>
    </row>
    <row r="189" spans="1:8">
      <c r="A189" s="9">
        <v>116</v>
      </c>
      <c r="B189" s="9" t="s">
        <v>117</v>
      </c>
      <c r="C189" s="10">
        <v>84.33</v>
      </c>
      <c r="D189" s="10">
        <v>-31.25</v>
      </c>
      <c r="E189" s="10">
        <f t="shared" si="6"/>
        <v>53.08</v>
      </c>
      <c r="H189" s="10">
        <v>53.08</v>
      </c>
    </row>
    <row r="190" spans="1:8">
      <c r="A190" s="9">
        <v>570</v>
      </c>
      <c r="B190" s="9" t="s">
        <v>116</v>
      </c>
      <c r="C190" s="10">
        <v>192.5</v>
      </c>
      <c r="D190" s="10">
        <v>-185.55</v>
      </c>
      <c r="E190" s="10">
        <f t="shared" si="6"/>
        <v>6.9499999999999886</v>
      </c>
      <c r="H190" s="10">
        <v>6.9499999999999886</v>
      </c>
    </row>
    <row r="191" spans="1:8">
      <c r="A191" s="9">
        <v>117</v>
      </c>
      <c r="B191" s="9" t="s">
        <v>115</v>
      </c>
      <c r="C191" s="10">
        <v>431.67</v>
      </c>
      <c r="D191" s="10">
        <v>-431.67</v>
      </c>
      <c r="E191" s="10">
        <f t="shared" si="6"/>
        <v>0</v>
      </c>
      <c r="H191" s="10">
        <v>18.04000000000002</v>
      </c>
    </row>
    <row r="192" spans="1:8">
      <c r="A192" s="9">
        <v>766</v>
      </c>
      <c r="B192" s="9" t="s">
        <v>114</v>
      </c>
      <c r="C192" s="10">
        <v>74.25</v>
      </c>
      <c r="D192" s="10">
        <v>-74.25</v>
      </c>
      <c r="E192" s="10">
        <f t="shared" si="6"/>
        <v>0</v>
      </c>
      <c r="H192" s="10">
        <v>0</v>
      </c>
    </row>
    <row r="193" spans="1:8">
      <c r="A193" s="9">
        <v>776</v>
      </c>
      <c r="B193" s="9" t="s">
        <v>113</v>
      </c>
      <c r="C193" s="10">
        <v>55</v>
      </c>
      <c r="D193" s="10">
        <v>15</v>
      </c>
      <c r="E193" s="10">
        <f t="shared" si="6"/>
        <v>70</v>
      </c>
      <c r="H193" s="10">
        <v>70</v>
      </c>
    </row>
    <row r="194" spans="1:8">
      <c r="A194" s="9">
        <v>48</v>
      </c>
      <c r="B194" s="9" t="s">
        <v>112</v>
      </c>
      <c r="C194" s="10">
        <v>0</v>
      </c>
      <c r="D194" s="10">
        <v>0</v>
      </c>
      <c r="E194" s="10">
        <f t="shared" si="6"/>
        <v>0</v>
      </c>
      <c r="H194" s="10">
        <v>0</v>
      </c>
    </row>
    <row r="195" spans="1:8">
      <c r="A195" s="9">
        <v>53</v>
      </c>
      <c r="B195" s="9" t="s">
        <v>111</v>
      </c>
      <c r="C195" s="10">
        <v>3996.03</v>
      </c>
      <c r="D195" s="10">
        <v>-3996.03</v>
      </c>
      <c r="E195" s="10">
        <f t="shared" si="6"/>
        <v>0</v>
      </c>
      <c r="H195" s="10">
        <v>899.61000000000013</v>
      </c>
    </row>
    <row r="196" spans="1:8">
      <c r="A196" s="9">
        <v>54</v>
      </c>
      <c r="B196" s="9" t="s">
        <v>110</v>
      </c>
      <c r="C196" s="10">
        <v>5782.05</v>
      </c>
      <c r="D196" s="10">
        <v>-5611.35</v>
      </c>
      <c r="E196" s="10">
        <f t="shared" si="6"/>
        <v>170.69999999999982</v>
      </c>
      <c r="H196" s="10">
        <v>662.35000000000036</v>
      </c>
    </row>
    <row r="197" spans="1:8">
      <c r="A197" s="9">
        <v>58</v>
      </c>
      <c r="B197" s="9" t="s">
        <v>109</v>
      </c>
      <c r="C197" s="10">
        <v>2106.61</v>
      </c>
      <c r="D197" s="10">
        <v>-2106.61</v>
      </c>
      <c r="E197" s="10">
        <f t="shared" si="6"/>
        <v>0</v>
      </c>
      <c r="H197" s="10">
        <v>0</v>
      </c>
    </row>
    <row r="198" spans="1:8">
      <c r="A198" s="9">
        <v>60</v>
      </c>
      <c r="B198" s="9" t="s">
        <v>108</v>
      </c>
      <c r="C198" s="10">
        <v>14005.29</v>
      </c>
      <c r="D198" s="10">
        <v>-14005.29</v>
      </c>
      <c r="E198" s="10">
        <f t="shared" si="6"/>
        <v>0</v>
      </c>
      <c r="H198" s="10">
        <v>317.18000000000029</v>
      </c>
    </row>
    <row r="199" spans="1:8">
      <c r="A199" s="9">
        <v>68</v>
      </c>
      <c r="B199" s="9" t="s">
        <v>107</v>
      </c>
      <c r="C199" s="10">
        <v>3675.61</v>
      </c>
      <c r="D199" s="10">
        <v>-3675.61</v>
      </c>
      <c r="E199" s="10">
        <f t="shared" si="6"/>
        <v>0</v>
      </c>
      <c r="H199" s="10">
        <v>0</v>
      </c>
    </row>
    <row r="200" spans="1:8">
      <c r="A200" s="9">
        <v>910</v>
      </c>
      <c r="B200" s="9" t="s">
        <v>106</v>
      </c>
      <c r="C200" s="10">
        <v>1125.81</v>
      </c>
      <c r="D200" s="10">
        <v>-471.53</v>
      </c>
      <c r="E200" s="10">
        <f t="shared" si="6"/>
        <v>654.28</v>
      </c>
      <c r="H200" s="10">
        <v>654.28</v>
      </c>
    </row>
    <row r="201" spans="1:8">
      <c r="A201" s="9">
        <v>57</v>
      </c>
      <c r="B201" s="9" t="s">
        <v>105</v>
      </c>
      <c r="C201" s="10">
        <v>8.25</v>
      </c>
      <c r="D201" s="10">
        <v>0</v>
      </c>
      <c r="E201" s="10">
        <f t="shared" si="6"/>
        <v>8.25</v>
      </c>
      <c r="H201" s="10">
        <v>8.25</v>
      </c>
    </row>
    <row r="202" spans="1:8">
      <c r="A202" s="9">
        <v>64</v>
      </c>
      <c r="B202" s="9" t="s">
        <v>104</v>
      </c>
      <c r="C202" s="10">
        <v>2161.39</v>
      </c>
      <c r="D202" s="10">
        <v>-1831.9</v>
      </c>
      <c r="E202" s="10">
        <f t="shared" si="6"/>
        <v>329.48999999999978</v>
      </c>
      <c r="H202" s="10">
        <v>329.48999999999978</v>
      </c>
    </row>
    <row r="203" spans="1:8">
      <c r="A203" s="9">
        <v>65</v>
      </c>
      <c r="B203" s="9" t="s">
        <v>103</v>
      </c>
      <c r="C203" s="10">
        <v>1822.41</v>
      </c>
      <c r="D203" s="10">
        <v>-1715.92</v>
      </c>
      <c r="E203" s="10">
        <f t="shared" si="6"/>
        <v>106.49000000000001</v>
      </c>
      <c r="H203" s="10">
        <v>806.15000000000009</v>
      </c>
    </row>
    <row r="204" spans="1:8">
      <c r="A204" s="9">
        <v>72</v>
      </c>
      <c r="B204" s="9" t="s">
        <v>102</v>
      </c>
      <c r="C204" s="10">
        <v>9353.23</v>
      </c>
      <c r="D204" s="10">
        <v>-9338.9500000000007</v>
      </c>
      <c r="E204" s="10">
        <f t="shared" si="6"/>
        <v>14.279999999998836</v>
      </c>
      <c r="H204" s="10">
        <v>2081.41</v>
      </c>
    </row>
    <row r="205" spans="1:8">
      <c r="A205" s="9">
        <v>51</v>
      </c>
      <c r="B205" s="9" t="s">
        <v>101</v>
      </c>
      <c r="C205" s="10">
        <v>201.58</v>
      </c>
      <c r="D205" s="10">
        <v>-73.63</v>
      </c>
      <c r="E205" s="10">
        <f t="shared" si="6"/>
        <v>127.95000000000002</v>
      </c>
      <c r="H205" s="10">
        <v>127.95000000000002</v>
      </c>
    </row>
    <row r="206" spans="1:8">
      <c r="A206" s="9">
        <v>1006</v>
      </c>
      <c r="B206" s="9" t="s">
        <v>100</v>
      </c>
      <c r="C206" s="10">
        <v>0</v>
      </c>
      <c r="D206" s="10">
        <v>305</v>
      </c>
      <c r="E206" s="10">
        <f t="shared" si="6"/>
        <v>305</v>
      </c>
      <c r="H206" s="10">
        <v>305</v>
      </c>
    </row>
    <row r="207" spans="1:8">
      <c r="A207" s="9">
        <v>63</v>
      </c>
      <c r="B207" s="9" t="s">
        <v>99</v>
      </c>
      <c r="C207" s="10">
        <v>32.18</v>
      </c>
      <c r="D207" s="10">
        <v>30</v>
      </c>
      <c r="E207" s="10">
        <f t="shared" si="6"/>
        <v>62.18</v>
      </c>
      <c r="H207" s="10">
        <v>62.18</v>
      </c>
    </row>
    <row r="208" spans="1:8">
      <c r="A208" s="9">
        <v>761</v>
      </c>
      <c r="B208" s="9" t="s">
        <v>98</v>
      </c>
      <c r="C208" s="10">
        <v>0</v>
      </c>
      <c r="D208" s="10">
        <v>30</v>
      </c>
      <c r="E208" s="10">
        <f t="shared" si="6"/>
        <v>30</v>
      </c>
      <c r="H208" s="10">
        <v>30</v>
      </c>
    </row>
    <row r="209" spans="1:8">
      <c r="A209" s="9">
        <v>358</v>
      </c>
      <c r="B209" s="9" t="s">
        <v>97</v>
      </c>
      <c r="C209" s="10">
        <v>0</v>
      </c>
      <c r="D209" s="10">
        <v>0</v>
      </c>
      <c r="E209" s="10">
        <f t="shared" si="6"/>
        <v>0</v>
      </c>
      <c r="H209" s="10">
        <v>0</v>
      </c>
    </row>
    <row r="210" spans="1:8">
      <c r="A210" s="9">
        <v>85</v>
      </c>
      <c r="B210" s="9" t="s">
        <v>96</v>
      </c>
      <c r="C210" s="10">
        <v>51.28</v>
      </c>
      <c r="D210" s="10">
        <v>0</v>
      </c>
      <c r="E210" s="10">
        <f t="shared" si="6"/>
        <v>51.28</v>
      </c>
      <c r="H210" s="10">
        <v>51.28</v>
      </c>
    </row>
    <row r="211" spans="1:8">
      <c r="A211" s="9">
        <v>939</v>
      </c>
      <c r="B211" s="9" t="s">
        <v>95</v>
      </c>
      <c r="C211" s="10">
        <v>96.25</v>
      </c>
      <c r="D211" s="10">
        <v>-96.25</v>
      </c>
      <c r="E211" s="10">
        <f t="shared" si="6"/>
        <v>0</v>
      </c>
      <c r="H211" s="10">
        <v>0</v>
      </c>
    </row>
    <row r="212" spans="1:8">
      <c r="A212" s="9">
        <v>55</v>
      </c>
      <c r="B212" s="9" t="s">
        <v>94</v>
      </c>
      <c r="C212" s="10">
        <v>187.55</v>
      </c>
      <c r="D212" s="10">
        <v>-75.72</v>
      </c>
      <c r="E212" s="10">
        <f t="shared" si="6"/>
        <v>111.83000000000001</v>
      </c>
      <c r="F212" s="10">
        <f>E212-H212</f>
        <v>96</v>
      </c>
      <c r="H212" s="10">
        <v>15.830000000000013</v>
      </c>
    </row>
    <row r="213" spans="1:8">
      <c r="A213" s="9">
        <v>52</v>
      </c>
      <c r="B213" s="9" t="s">
        <v>93</v>
      </c>
      <c r="C213" s="10">
        <v>20.67</v>
      </c>
      <c r="D213" s="10">
        <v>0</v>
      </c>
      <c r="E213" s="10">
        <f t="shared" si="6"/>
        <v>20.67</v>
      </c>
      <c r="H213" s="10">
        <v>20.67</v>
      </c>
    </row>
    <row r="214" spans="1:8">
      <c r="A214" s="9">
        <v>76</v>
      </c>
      <c r="B214" s="9" t="s">
        <v>92</v>
      </c>
      <c r="C214" s="10">
        <v>2409.0100000000002</v>
      </c>
      <c r="D214" s="10">
        <v>-2409.0100000000002</v>
      </c>
      <c r="E214" s="10">
        <f t="shared" si="6"/>
        <v>0</v>
      </c>
      <c r="H214" s="10">
        <v>50</v>
      </c>
    </row>
    <row r="215" spans="1:8">
      <c r="A215" s="9">
        <v>70</v>
      </c>
      <c r="B215" s="9" t="s">
        <v>91</v>
      </c>
      <c r="C215" s="10">
        <v>895.46</v>
      </c>
      <c r="D215" s="10">
        <v>-361.46</v>
      </c>
      <c r="E215" s="10">
        <f t="shared" ref="E215:E246" si="7">IF(C215+D215&gt;0, C215+D215, 0)</f>
        <v>534</v>
      </c>
      <c r="H215" s="10">
        <v>534</v>
      </c>
    </row>
    <row r="216" spans="1:8">
      <c r="A216" s="9">
        <v>50</v>
      </c>
      <c r="B216" s="9" t="s">
        <v>90</v>
      </c>
      <c r="C216" s="10">
        <v>1.65</v>
      </c>
      <c r="D216" s="10">
        <v>70</v>
      </c>
      <c r="E216" s="10">
        <f t="shared" si="7"/>
        <v>71.650000000000006</v>
      </c>
      <c r="H216" s="10">
        <v>71.650000000000006</v>
      </c>
    </row>
    <row r="217" spans="1:8">
      <c r="A217" s="9">
        <v>74</v>
      </c>
      <c r="B217" s="9" t="s">
        <v>89</v>
      </c>
      <c r="C217" s="10">
        <v>38.5</v>
      </c>
      <c r="D217" s="10">
        <v>15</v>
      </c>
      <c r="E217" s="10">
        <f t="shared" si="7"/>
        <v>53.5</v>
      </c>
      <c r="H217" s="10">
        <v>53.5</v>
      </c>
    </row>
    <row r="218" spans="1:8">
      <c r="A218" s="9">
        <v>262</v>
      </c>
      <c r="B218" s="9" t="s">
        <v>88</v>
      </c>
      <c r="C218" s="10">
        <v>3195.61</v>
      </c>
      <c r="D218" s="10">
        <v>-2747.71</v>
      </c>
      <c r="E218" s="10">
        <f t="shared" si="7"/>
        <v>447.90000000000009</v>
      </c>
      <c r="H218" s="10">
        <v>1248.2500000000002</v>
      </c>
    </row>
    <row r="219" spans="1:8">
      <c r="A219" s="9">
        <v>267</v>
      </c>
      <c r="B219" s="9" t="s">
        <v>87</v>
      </c>
      <c r="C219" s="10">
        <v>1191.31</v>
      </c>
      <c r="D219" s="10">
        <v>-1009.58</v>
      </c>
      <c r="E219" s="10">
        <f t="shared" si="7"/>
        <v>181.7299999999999</v>
      </c>
      <c r="H219" s="10">
        <v>573.46999999999991</v>
      </c>
    </row>
    <row r="220" spans="1:8">
      <c r="A220" s="9">
        <v>242</v>
      </c>
      <c r="B220" s="9" t="s">
        <v>86</v>
      </c>
      <c r="C220" s="10">
        <v>3828</v>
      </c>
      <c r="D220" s="10">
        <v>-3828</v>
      </c>
      <c r="E220" s="10">
        <f t="shared" si="7"/>
        <v>0</v>
      </c>
      <c r="F220" s="10">
        <f>SUM(E183:E220)-F212</f>
        <v>3435.1799999999989</v>
      </c>
      <c r="H220" s="10">
        <v>71.960000000000036</v>
      </c>
    </row>
    <row r="221" spans="1:8">
      <c r="A221" s="9">
        <v>1066</v>
      </c>
      <c r="B221" s="9" t="s">
        <v>85</v>
      </c>
      <c r="C221" s="10">
        <v>474.94</v>
      </c>
      <c r="D221" s="10">
        <v>-474.94</v>
      </c>
      <c r="E221" s="10">
        <f t="shared" si="7"/>
        <v>0</v>
      </c>
      <c r="H221" s="10">
        <v>504.94</v>
      </c>
    </row>
    <row r="222" spans="1:8">
      <c r="A222" s="9">
        <v>264</v>
      </c>
      <c r="B222" s="9" t="s">
        <v>84</v>
      </c>
      <c r="C222" s="10">
        <v>1129.26</v>
      </c>
      <c r="D222" s="10">
        <v>-1129.26</v>
      </c>
      <c r="E222" s="10">
        <f t="shared" si="7"/>
        <v>0</v>
      </c>
      <c r="H222" s="10">
        <v>458.09000000000003</v>
      </c>
    </row>
    <row r="223" spans="1:8">
      <c r="A223" s="9">
        <v>270</v>
      </c>
      <c r="B223" s="9" t="s">
        <v>83</v>
      </c>
      <c r="C223" s="10">
        <v>687.23</v>
      </c>
      <c r="D223" s="10">
        <v>-628.6</v>
      </c>
      <c r="E223" s="10">
        <f t="shared" si="7"/>
        <v>58.629999999999995</v>
      </c>
      <c r="H223" s="10">
        <v>58.629999999999995</v>
      </c>
    </row>
    <row r="224" spans="1:8">
      <c r="A224" s="9">
        <v>266</v>
      </c>
      <c r="B224" s="9" t="s">
        <v>82</v>
      </c>
      <c r="C224" s="10">
        <v>1271.74</v>
      </c>
      <c r="D224" s="10">
        <v>-1271.74</v>
      </c>
      <c r="E224" s="10">
        <f t="shared" si="7"/>
        <v>0</v>
      </c>
      <c r="H224" s="10">
        <v>1233.28</v>
      </c>
    </row>
    <row r="225" spans="1:8">
      <c r="A225" s="9">
        <v>765</v>
      </c>
      <c r="B225" s="9" t="s">
        <v>81</v>
      </c>
      <c r="C225" s="10">
        <v>55</v>
      </c>
      <c r="D225" s="10">
        <v>-55</v>
      </c>
      <c r="E225" s="10">
        <f t="shared" si="7"/>
        <v>0</v>
      </c>
      <c r="H225" s="10">
        <v>324.18</v>
      </c>
    </row>
    <row r="226" spans="1:8">
      <c r="A226" s="9">
        <v>271</v>
      </c>
      <c r="B226" s="9" t="s">
        <v>80</v>
      </c>
      <c r="C226" s="10">
        <v>1442.61</v>
      </c>
      <c r="D226" s="10">
        <v>-1442.61</v>
      </c>
      <c r="E226" s="10">
        <f t="shared" si="7"/>
        <v>0</v>
      </c>
      <c r="H226" s="10">
        <v>1083.6099999999999</v>
      </c>
    </row>
    <row r="227" spans="1:8">
      <c r="A227" s="9">
        <v>265</v>
      </c>
      <c r="B227" s="9" t="s">
        <v>79</v>
      </c>
      <c r="C227" s="10">
        <v>441.75</v>
      </c>
      <c r="D227" s="10">
        <v>-441.75</v>
      </c>
      <c r="E227" s="10">
        <f t="shared" si="7"/>
        <v>0</v>
      </c>
      <c r="H227" s="10">
        <v>163.10000000000002</v>
      </c>
    </row>
    <row r="228" spans="1:8">
      <c r="A228" s="9">
        <v>1039</v>
      </c>
      <c r="B228" s="9" t="s">
        <v>78</v>
      </c>
      <c r="C228" s="10">
        <v>193.17</v>
      </c>
      <c r="D228" s="10">
        <v>-193.17</v>
      </c>
      <c r="E228" s="10">
        <f t="shared" si="7"/>
        <v>0</v>
      </c>
      <c r="H228" s="10">
        <v>30.369999999999976</v>
      </c>
    </row>
    <row r="229" spans="1:8">
      <c r="A229" s="9">
        <v>269</v>
      </c>
      <c r="B229" s="9" t="s">
        <v>77</v>
      </c>
      <c r="C229" s="10">
        <v>16.5</v>
      </c>
      <c r="D229" s="10">
        <v>30</v>
      </c>
      <c r="E229" s="10">
        <f t="shared" si="7"/>
        <v>46.5</v>
      </c>
      <c r="F229" s="10">
        <f>SUM(E221:E229)</f>
        <v>105.13</v>
      </c>
      <c r="H229" s="10">
        <v>46.5</v>
      </c>
    </row>
    <row r="230" spans="1:8">
      <c r="A230" s="9">
        <v>208</v>
      </c>
      <c r="B230" s="9" t="s">
        <v>76</v>
      </c>
      <c r="C230" s="10">
        <v>1749.75</v>
      </c>
      <c r="D230" s="10">
        <v>-1612.97</v>
      </c>
      <c r="E230" s="10">
        <f t="shared" si="7"/>
        <v>136.77999999999997</v>
      </c>
      <c r="F230" s="10">
        <f>SUM(E230)</f>
        <v>136.77999999999997</v>
      </c>
      <c r="H230" s="10">
        <v>281.05999999999995</v>
      </c>
    </row>
    <row r="231" spans="1:8">
      <c r="A231" s="9">
        <v>19</v>
      </c>
      <c r="B231" s="9" t="s">
        <v>75</v>
      </c>
      <c r="C231" s="10">
        <v>3184.5</v>
      </c>
      <c r="D231" s="10">
        <v>-3184.5</v>
      </c>
      <c r="E231" s="10">
        <f t="shared" si="7"/>
        <v>0</v>
      </c>
      <c r="H231" s="10">
        <v>0</v>
      </c>
    </row>
    <row r="232" spans="1:8">
      <c r="A232" s="9">
        <v>31</v>
      </c>
      <c r="B232" s="9" t="s">
        <v>74</v>
      </c>
      <c r="C232" s="10">
        <v>6169.28</v>
      </c>
      <c r="D232" s="10">
        <v>-6169.28</v>
      </c>
      <c r="E232" s="10">
        <f t="shared" si="7"/>
        <v>0</v>
      </c>
      <c r="H232" s="10">
        <v>0</v>
      </c>
    </row>
    <row r="233" spans="1:8">
      <c r="A233" s="9">
        <v>5</v>
      </c>
      <c r="B233" s="9" t="s">
        <v>73</v>
      </c>
      <c r="C233" s="10">
        <v>8021.48</v>
      </c>
      <c r="D233" s="10">
        <v>-5796.26</v>
      </c>
      <c r="E233" s="10">
        <f t="shared" si="7"/>
        <v>2225.2199999999993</v>
      </c>
      <c r="H233" s="10">
        <v>2482.8199999999997</v>
      </c>
    </row>
    <row r="234" spans="1:8">
      <c r="A234" s="9">
        <v>667</v>
      </c>
      <c r="B234" s="9" t="s">
        <v>72</v>
      </c>
      <c r="C234" s="10">
        <v>2538.25</v>
      </c>
      <c r="D234" s="10">
        <v>-2538.25</v>
      </c>
      <c r="E234" s="10">
        <f t="shared" si="7"/>
        <v>0</v>
      </c>
      <c r="H234" s="10">
        <v>126.65999999999985</v>
      </c>
    </row>
    <row r="235" spans="1:8">
      <c r="A235" s="9">
        <v>775</v>
      </c>
      <c r="B235" s="9" t="s">
        <v>71</v>
      </c>
      <c r="C235" s="10">
        <v>1159.1300000000001</v>
      </c>
      <c r="D235" s="10">
        <v>-1159.1300000000001</v>
      </c>
      <c r="E235" s="10">
        <f t="shared" si="7"/>
        <v>0</v>
      </c>
      <c r="H235" s="10">
        <v>10</v>
      </c>
    </row>
    <row r="236" spans="1:8">
      <c r="A236" s="9">
        <v>782</v>
      </c>
      <c r="B236" s="9" t="s">
        <v>70</v>
      </c>
      <c r="C236" s="10">
        <v>529.98</v>
      </c>
      <c r="D236" s="10">
        <v>-526</v>
      </c>
      <c r="E236" s="10">
        <f t="shared" si="7"/>
        <v>3.9800000000000182</v>
      </c>
      <c r="H236" s="10">
        <v>3.9800000000000182</v>
      </c>
    </row>
    <row r="237" spans="1:8">
      <c r="A237" s="9">
        <v>738</v>
      </c>
      <c r="B237" s="9" t="s">
        <v>69</v>
      </c>
      <c r="C237" s="10">
        <v>2813.81</v>
      </c>
      <c r="D237" s="10">
        <v>-2813.81</v>
      </c>
      <c r="E237" s="10">
        <f t="shared" si="7"/>
        <v>0</v>
      </c>
      <c r="H237" s="10">
        <v>1715.61</v>
      </c>
    </row>
    <row r="238" spans="1:8">
      <c r="A238" s="9">
        <v>79</v>
      </c>
      <c r="B238" s="9" t="s">
        <v>68</v>
      </c>
      <c r="C238" s="10">
        <v>6621.86</v>
      </c>
      <c r="D238" s="10">
        <v>-6611.86</v>
      </c>
      <c r="E238" s="10">
        <f t="shared" si="7"/>
        <v>10</v>
      </c>
      <c r="H238" s="10">
        <v>385</v>
      </c>
    </row>
    <row r="239" spans="1:8">
      <c r="A239" s="9">
        <v>27</v>
      </c>
      <c r="B239" s="9" t="s">
        <v>67</v>
      </c>
      <c r="C239" s="10">
        <v>2281.77</v>
      </c>
      <c r="D239" s="10">
        <v>-2053.77</v>
      </c>
      <c r="E239" s="10">
        <f t="shared" si="7"/>
        <v>228</v>
      </c>
      <c r="H239" s="10">
        <v>1191.58</v>
      </c>
    </row>
    <row r="240" spans="1:8">
      <c r="A240" s="9">
        <v>28</v>
      </c>
      <c r="B240" s="9" t="s">
        <v>66</v>
      </c>
      <c r="C240" s="10">
        <v>10505.21</v>
      </c>
      <c r="D240" s="10">
        <v>-10505.21</v>
      </c>
      <c r="E240" s="10">
        <f t="shared" si="7"/>
        <v>0</v>
      </c>
      <c r="H240" s="10">
        <v>21.219999999999345</v>
      </c>
    </row>
    <row r="241" spans="1:8">
      <c r="A241" s="9">
        <v>726</v>
      </c>
      <c r="B241" s="9" t="s">
        <v>65</v>
      </c>
      <c r="C241" s="10">
        <v>1624.59</v>
      </c>
      <c r="D241" s="10">
        <v>-1623.47</v>
      </c>
      <c r="E241" s="10">
        <f t="shared" si="7"/>
        <v>1.1199999999998909</v>
      </c>
      <c r="H241" s="10">
        <v>1651.49</v>
      </c>
    </row>
    <row r="242" spans="1:8">
      <c r="A242" s="9">
        <v>13</v>
      </c>
      <c r="B242" s="9" t="s">
        <v>64</v>
      </c>
      <c r="C242" s="10">
        <v>11661.66</v>
      </c>
      <c r="D242" s="10">
        <v>-11026.38</v>
      </c>
      <c r="E242" s="10">
        <f t="shared" si="7"/>
        <v>635.28000000000065</v>
      </c>
      <c r="F242" s="10">
        <f>E242-H242</f>
        <v>60</v>
      </c>
      <c r="H242" s="10">
        <v>575.28000000000065</v>
      </c>
    </row>
    <row r="243" spans="1:8">
      <c r="A243" s="9">
        <v>22</v>
      </c>
      <c r="B243" s="9" t="s">
        <v>63</v>
      </c>
      <c r="C243" s="10">
        <v>7913.98</v>
      </c>
      <c r="D243" s="10">
        <v>-7563.98</v>
      </c>
      <c r="E243" s="10">
        <f t="shared" si="7"/>
        <v>350</v>
      </c>
      <c r="H243" s="10">
        <v>483.28999999999996</v>
      </c>
    </row>
    <row r="244" spans="1:8">
      <c r="A244" s="9">
        <v>24</v>
      </c>
      <c r="B244" s="9" t="s">
        <v>62</v>
      </c>
      <c r="C244" s="10">
        <v>1835.84</v>
      </c>
      <c r="D244" s="10">
        <v>-1835.84</v>
      </c>
      <c r="E244" s="10">
        <f t="shared" si="7"/>
        <v>0</v>
      </c>
      <c r="H244" s="10">
        <v>0</v>
      </c>
    </row>
    <row r="245" spans="1:8">
      <c r="A245" s="9">
        <v>23</v>
      </c>
      <c r="B245" s="9" t="s">
        <v>61</v>
      </c>
      <c r="C245" s="10">
        <v>1977.59</v>
      </c>
      <c r="D245" s="10">
        <v>-1947.59</v>
      </c>
      <c r="E245" s="10">
        <f t="shared" si="7"/>
        <v>30</v>
      </c>
      <c r="F245" s="10">
        <f>E245-H245</f>
        <v>30</v>
      </c>
      <c r="H245" s="10">
        <v>0</v>
      </c>
    </row>
    <row r="246" spans="1:8">
      <c r="A246" s="9">
        <v>737</v>
      </c>
      <c r="B246" s="9" t="s">
        <v>60</v>
      </c>
      <c r="C246" s="10">
        <v>2734.79</v>
      </c>
      <c r="D246" s="10">
        <v>-2734.79</v>
      </c>
      <c r="E246" s="10">
        <f t="shared" si="7"/>
        <v>0</v>
      </c>
      <c r="H246" s="10">
        <v>655</v>
      </c>
    </row>
    <row r="247" spans="1:8">
      <c r="A247" s="9">
        <v>801</v>
      </c>
      <c r="B247" s="9" t="s">
        <v>59</v>
      </c>
      <c r="C247" s="10">
        <v>1022.68</v>
      </c>
      <c r="D247" s="10">
        <v>-997.39</v>
      </c>
      <c r="E247" s="10">
        <f t="shared" ref="E247:E278" si="8">IF(C247+D247&gt;0, C247+D247, 0)</f>
        <v>25.289999999999964</v>
      </c>
      <c r="H247" s="10">
        <v>25.289999999999964</v>
      </c>
    </row>
    <row r="248" spans="1:8">
      <c r="A248" s="9">
        <v>8</v>
      </c>
      <c r="B248" s="9" t="s">
        <v>58</v>
      </c>
      <c r="C248" s="10">
        <v>1536.3</v>
      </c>
      <c r="D248" s="10">
        <v>-1197.8699999999999</v>
      </c>
      <c r="E248" s="10">
        <f t="shared" si="8"/>
        <v>338.43000000000006</v>
      </c>
      <c r="H248" s="10">
        <v>338.43000000000006</v>
      </c>
    </row>
    <row r="249" spans="1:8">
      <c r="A249" s="9">
        <v>2</v>
      </c>
      <c r="B249" s="9" t="s">
        <v>57</v>
      </c>
      <c r="C249" s="10">
        <v>10534.98</v>
      </c>
      <c r="D249" s="10">
        <v>-10534.98</v>
      </c>
      <c r="E249" s="10">
        <f t="shared" si="8"/>
        <v>0</v>
      </c>
      <c r="H249" s="10">
        <v>1309.42</v>
      </c>
    </row>
    <row r="250" spans="1:8">
      <c r="A250" s="9">
        <v>763</v>
      </c>
      <c r="B250" s="9" t="s">
        <v>56</v>
      </c>
      <c r="C250" s="10">
        <v>1</v>
      </c>
      <c r="D250" s="10">
        <v>30</v>
      </c>
      <c r="E250" s="10">
        <f t="shared" si="8"/>
        <v>31</v>
      </c>
      <c r="H250" s="10">
        <v>31</v>
      </c>
    </row>
    <row r="251" spans="1:8">
      <c r="A251" s="9">
        <v>35</v>
      </c>
      <c r="B251" s="9" t="s">
        <v>55</v>
      </c>
      <c r="C251" s="10">
        <v>2738.56</v>
      </c>
      <c r="D251" s="10">
        <v>-2712.88</v>
      </c>
      <c r="E251" s="10">
        <f t="shared" si="8"/>
        <v>25.679999999999836</v>
      </c>
      <c r="H251" s="10">
        <v>25.679999999999836</v>
      </c>
    </row>
    <row r="252" spans="1:8">
      <c r="A252" s="9">
        <v>3</v>
      </c>
      <c r="B252" s="9" t="s">
        <v>54</v>
      </c>
      <c r="C252" s="10">
        <v>1047.28</v>
      </c>
      <c r="D252" s="10">
        <v>-1047.28</v>
      </c>
      <c r="E252" s="10">
        <f t="shared" si="8"/>
        <v>0</v>
      </c>
      <c r="H252" s="10">
        <v>0</v>
      </c>
    </row>
    <row r="253" spans="1:8">
      <c r="A253" s="9">
        <v>34</v>
      </c>
      <c r="B253" s="9" t="s">
        <v>53</v>
      </c>
      <c r="C253" s="10">
        <v>0</v>
      </c>
      <c r="D253" s="10">
        <v>30</v>
      </c>
      <c r="E253" s="10">
        <f t="shared" si="8"/>
        <v>30</v>
      </c>
      <c r="H253" s="10">
        <v>30</v>
      </c>
    </row>
    <row r="254" spans="1:8">
      <c r="A254" s="9">
        <v>12</v>
      </c>
      <c r="B254" s="9" t="s">
        <v>52</v>
      </c>
      <c r="C254" s="10">
        <v>2930.95</v>
      </c>
      <c r="D254" s="10">
        <v>-2930.95</v>
      </c>
      <c r="E254" s="10">
        <f t="shared" si="8"/>
        <v>0</v>
      </c>
      <c r="H254" s="10">
        <v>0</v>
      </c>
    </row>
    <row r="255" spans="1:8">
      <c r="A255" s="9">
        <v>18</v>
      </c>
      <c r="B255" s="9" t="s">
        <v>51</v>
      </c>
      <c r="C255" s="10">
        <v>6298.91</v>
      </c>
      <c r="D255" s="10">
        <v>-6298.91</v>
      </c>
      <c r="E255" s="10">
        <f t="shared" si="8"/>
        <v>0</v>
      </c>
      <c r="H255" s="10">
        <v>151.88999999999942</v>
      </c>
    </row>
    <row r="256" spans="1:8">
      <c r="A256" s="9">
        <v>29</v>
      </c>
      <c r="B256" s="9" t="s">
        <v>50</v>
      </c>
      <c r="C256" s="10">
        <v>297.17</v>
      </c>
      <c r="D256" s="10">
        <v>-288.64999999999998</v>
      </c>
      <c r="E256" s="10">
        <f t="shared" si="8"/>
        <v>8.5200000000000387</v>
      </c>
      <c r="H256" s="10">
        <v>8.5200000000000387</v>
      </c>
    </row>
    <row r="257" spans="1:8">
      <c r="A257" s="9">
        <v>43</v>
      </c>
      <c r="B257" s="9" t="s">
        <v>49</v>
      </c>
      <c r="C257" s="10">
        <v>2901.37</v>
      </c>
      <c r="D257" s="10">
        <v>-2901.37</v>
      </c>
      <c r="E257" s="10">
        <f t="shared" si="8"/>
        <v>0</v>
      </c>
      <c r="H257" s="10">
        <v>1205.32</v>
      </c>
    </row>
    <row r="258" spans="1:8">
      <c r="A258" s="9">
        <v>4</v>
      </c>
      <c r="B258" s="9" t="s">
        <v>48</v>
      </c>
      <c r="C258" s="10">
        <v>4939.87</v>
      </c>
      <c r="D258" s="10">
        <v>-4939.87</v>
      </c>
      <c r="E258" s="10">
        <f t="shared" si="8"/>
        <v>0</v>
      </c>
      <c r="H258" s="10">
        <v>0</v>
      </c>
    </row>
    <row r="259" spans="1:8">
      <c r="A259" s="9">
        <v>1130</v>
      </c>
      <c r="B259" s="9" t="s">
        <v>47</v>
      </c>
      <c r="C259" s="10">
        <v>480</v>
      </c>
      <c r="D259" s="10">
        <v>-480</v>
      </c>
      <c r="E259" s="10">
        <f t="shared" si="8"/>
        <v>0</v>
      </c>
      <c r="H259" s="10">
        <v>0</v>
      </c>
    </row>
    <row r="260" spans="1:8">
      <c r="A260" s="9">
        <v>7</v>
      </c>
      <c r="B260" s="9" t="s">
        <v>46</v>
      </c>
      <c r="C260" s="10">
        <v>9239.8799999999992</v>
      </c>
      <c r="D260" s="10">
        <v>-9239.8799999999992</v>
      </c>
      <c r="E260" s="10">
        <f t="shared" si="8"/>
        <v>0</v>
      </c>
      <c r="H260" s="10">
        <v>0</v>
      </c>
    </row>
    <row r="261" spans="1:8">
      <c r="A261" s="9">
        <v>9</v>
      </c>
      <c r="B261" s="9" t="s">
        <v>45</v>
      </c>
      <c r="C261" s="10">
        <v>5123.32</v>
      </c>
      <c r="D261" s="10">
        <v>-5123.32</v>
      </c>
      <c r="E261" s="10">
        <f t="shared" si="8"/>
        <v>0</v>
      </c>
      <c r="H261" s="10">
        <v>151.32999999999993</v>
      </c>
    </row>
    <row r="262" spans="1:8">
      <c r="A262" s="9">
        <v>10</v>
      </c>
      <c r="B262" s="9" t="s">
        <v>44</v>
      </c>
      <c r="C262" s="10">
        <v>865.32</v>
      </c>
      <c r="D262" s="10">
        <v>-858.06</v>
      </c>
      <c r="E262" s="10">
        <f t="shared" si="8"/>
        <v>7.2600000000001046</v>
      </c>
      <c r="H262" s="10">
        <v>84.900000000000091</v>
      </c>
    </row>
    <row r="263" spans="1:8">
      <c r="A263" s="9">
        <v>11</v>
      </c>
      <c r="B263" s="9" t="s">
        <v>43</v>
      </c>
      <c r="C263" s="10">
        <v>4744.51</v>
      </c>
      <c r="D263" s="10">
        <v>-4721.51</v>
      </c>
      <c r="E263" s="10">
        <f t="shared" si="8"/>
        <v>23</v>
      </c>
      <c r="H263" s="10">
        <v>23</v>
      </c>
    </row>
    <row r="264" spans="1:8">
      <c r="A264" s="9">
        <v>733</v>
      </c>
      <c r="B264" s="9" t="s">
        <v>42</v>
      </c>
      <c r="C264" s="10">
        <v>150</v>
      </c>
      <c r="D264" s="10">
        <v>-150</v>
      </c>
      <c r="E264" s="10">
        <f t="shared" si="8"/>
        <v>0</v>
      </c>
      <c r="H264" s="10">
        <v>0</v>
      </c>
    </row>
    <row r="265" spans="1:8">
      <c r="A265" s="9">
        <v>904</v>
      </c>
      <c r="B265" s="9" t="s">
        <v>41</v>
      </c>
      <c r="C265" s="10">
        <v>2292.5</v>
      </c>
      <c r="D265" s="10">
        <v>-2292.5</v>
      </c>
      <c r="E265" s="10">
        <f t="shared" si="8"/>
        <v>0</v>
      </c>
      <c r="H265" s="10">
        <v>0</v>
      </c>
    </row>
    <row r="266" spans="1:8">
      <c r="A266" s="9">
        <v>39</v>
      </c>
      <c r="B266" s="9" t="s">
        <v>40</v>
      </c>
      <c r="C266" s="10">
        <v>6437.24</v>
      </c>
      <c r="D266" s="10">
        <v>-6407.24</v>
      </c>
      <c r="E266" s="10">
        <f t="shared" si="8"/>
        <v>30</v>
      </c>
      <c r="F266" s="10">
        <f>E266-H266</f>
        <v>30</v>
      </c>
      <c r="H266" s="10">
        <v>0</v>
      </c>
    </row>
    <row r="267" spans="1:8">
      <c r="A267" s="9">
        <v>21</v>
      </c>
      <c r="B267" s="9" t="s">
        <v>39</v>
      </c>
      <c r="C267" s="10">
        <v>4990.3599999999997</v>
      </c>
      <c r="D267" s="10">
        <v>-4990.3599999999997</v>
      </c>
      <c r="E267" s="10">
        <f t="shared" si="8"/>
        <v>0</v>
      </c>
      <c r="H267" s="10">
        <v>0</v>
      </c>
    </row>
    <row r="268" spans="1:8">
      <c r="A268" s="9">
        <v>26</v>
      </c>
      <c r="B268" s="9" t="s">
        <v>38</v>
      </c>
      <c r="C268" s="10">
        <v>5843.87</v>
      </c>
      <c r="D268" s="10">
        <v>-5663.81</v>
      </c>
      <c r="E268" s="10">
        <f t="shared" si="8"/>
        <v>180.05999999999949</v>
      </c>
      <c r="H268" s="10">
        <v>2122.6099999999997</v>
      </c>
    </row>
    <row r="269" spans="1:8">
      <c r="A269" s="9">
        <v>302</v>
      </c>
      <c r="B269" s="9" t="s">
        <v>37</v>
      </c>
      <c r="C269" s="10">
        <v>3609.75</v>
      </c>
      <c r="D269" s="10">
        <v>-3579.75</v>
      </c>
      <c r="E269" s="10">
        <f t="shared" si="8"/>
        <v>30</v>
      </c>
      <c r="F269" s="10">
        <f>E269-H269</f>
        <v>30</v>
      </c>
      <c r="H269" s="10">
        <v>0</v>
      </c>
    </row>
    <row r="270" spans="1:8">
      <c r="A270" s="9">
        <v>828</v>
      </c>
      <c r="B270" s="9" t="s">
        <v>36</v>
      </c>
      <c r="C270" s="10">
        <v>2816.01</v>
      </c>
      <c r="D270" s="10">
        <v>-2816.01</v>
      </c>
      <c r="E270" s="10">
        <f t="shared" si="8"/>
        <v>0</v>
      </c>
      <c r="H270" s="10">
        <v>0</v>
      </c>
    </row>
    <row r="271" spans="1:8">
      <c r="A271" s="9">
        <v>81</v>
      </c>
      <c r="B271" s="9" t="s">
        <v>35</v>
      </c>
      <c r="C271" s="10">
        <v>1606.28</v>
      </c>
      <c r="D271" s="10">
        <v>-1606.28</v>
      </c>
      <c r="E271" s="10">
        <f t="shared" si="8"/>
        <v>0</v>
      </c>
      <c r="H271" s="10">
        <v>0</v>
      </c>
    </row>
    <row r="272" spans="1:8">
      <c r="A272" s="9">
        <v>6</v>
      </c>
      <c r="B272" s="9" t="s">
        <v>34</v>
      </c>
      <c r="C272" s="10">
        <v>1383.53</v>
      </c>
      <c r="D272" s="10">
        <v>-1383.53</v>
      </c>
      <c r="E272" s="10">
        <f t="shared" si="8"/>
        <v>0</v>
      </c>
      <c r="H272" s="10">
        <v>687.68999999999994</v>
      </c>
    </row>
    <row r="273" spans="1:8">
      <c r="A273" s="9">
        <v>16</v>
      </c>
      <c r="B273" s="9" t="s">
        <v>33</v>
      </c>
      <c r="C273" s="10">
        <v>1364.1</v>
      </c>
      <c r="D273" s="10">
        <v>-1302.0999999999999</v>
      </c>
      <c r="E273" s="10">
        <f t="shared" si="8"/>
        <v>62</v>
      </c>
      <c r="H273" s="10">
        <v>62</v>
      </c>
    </row>
    <row r="274" spans="1:8">
      <c r="A274" s="9">
        <v>802</v>
      </c>
      <c r="B274" s="9" t="s">
        <v>32</v>
      </c>
      <c r="C274" s="10">
        <v>1084.8800000000001</v>
      </c>
      <c r="D274" s="10">
        <v>-84</v>
      </c>
      <c r="E274" s="10">
        <f t="shared" si="8"/>
        <v>1000.8800000000001</v>
      </c>
      <c r="F274" s="10">
        <f>E274-H274</f>
        <v>15</v>
      </c>
      <c r="H274" s="10">
        <v>985.88000000000011</v>
      </c>
    </row>
    <row r="275" spans="1:8">
      <c r="A275" s="9">
        <v>15</v>
      </c>
      <c r="B275" s="9" t="s">
        <v>31</v>
      </c>
      <c r="C275" s="10">
        <v>1802.89</v>
      </c>
      <c r="D275" s="10">
        <v>-1802.89</v>
      </c>
      <c r="E275" s="10">
        <f t="shared" si="8"/>
        <v>0</v>
      </c>
      <c r="H275" s="10">
        <v>0</v>
      </c>
    </row>
    <row r="276" spans="1:8">
      <c r="A276" s="9">
        <v>14</v>
      </c>
      <c r="B276" s="9" t="s">
        <v>30</v>
      </c>
      <c r="C276" s="10">
        <v>1230.28</v>
      </c>
      <c r="D276" s="10">
        <v>-1019.37</v>
      </c>
      <c r="E276" s="10">
        <f t="shared" si="8"/>
        <v>210.90999999999997</v>
      </c>
      <c r="H276" s="10">
        <v>210.90999999999997</v>
      </c>
    </row>
    <row r="277" spans="1:8">
      <c r="A277" s="9">
        <v>1007</v>
      </c>
      <c r="B277" s="9" t="s">
        <v>29</v>
      </c>
      <c r="C277" s="10">
        <v>748.21</v>
      </c>
      <c r="D277" s="10">
        <v>-748.21</v>
      </c>
      <c r="E277" s="10">
        <f t="shared" si="8"/>
        <v>0</v>
      </c>
      <c r="H277" s="10">
        <v>159.33000000000004</v>
      </c>
    </row>
    <row r="278" spans="1:8">
      <c r="A278" s="9">
        <v>38</v>
      </c>
      <c r="B278" s="9" t="s">
        <v>28</v>
      </c>
      <c r="C278" s="10">
        <v>602.6</v>
      </c>
      <c r="D278" s="10">
        <v>-602.6</v>
      </c>
      <c r="E278" s="10">
        <f t="shared" si="8"/>
        <v>0</v>
      </c>
      <c r="H278" s="10">
        <v>0</v>
      </c>
    </row>
    <row r="279" spans="1:8">
      <c r="A279" s="9">
        <v>1038</v>
      </c>
      <c r="B279" s="9" t="s">
        <v>27</v>
      </c>
      <c r="C279" s="10">
        <v>1134.3800000000001</v>
      </c>
      <c r="D279" s="10">
        <v>-1134.3800000000001</v>
      </c>
      <c r="E279" s="10">
        <f t="shared" ref="E279:E286" si="9">IF(C279+D279&gt;0, C279+D279, 0)</f>
        <v>0</v>
      </c>
      <c r="H279" s="10">
        <v>928.53000000000009</v>
      </c>
    </row>
    <row r="280" spans="1:8">
      <c r="A280" s="9">
        <v>17</v>
      </c>
      <c r="B280" s="9" t="s">
        <v>26</v>
      </c>
      <c r="C280" s="10">
        <v>308.05</v>
      </c>
      <c r="D280" s="10">
        <v>-210</v>
      </c>
      <c r="E280" s="10">
        <f t="shared" si="9"/>
        <v>98.050000000000011</v>
      </c>
      <c r="H280" s="10">
        <v>98.050000000000011</v>
      </c>
    </row>
    <row r="281" spans="1:8">
      <c r="A281" s="9">
        <v>574</v>
      </c>
      <c r="B281" s="9" t="s">
        <v>25</v>
      </c>
      <c r="C281" s="10">
        <v>110</v>
      </c>
      <c r="D281" s="10">
        <v>52</v>
      </c>
      <c r="E281" s="10">
        <f t="shared" si="9"/>
        <v>162</v>
      </c>
      <c r="H281" s="10">
        <v>162</v>
      </c>
    </row>
    <row r="282" spans="1:8">
      <c r="A282" s="9">
        <v>25</v>
      </c>
      <c r="B282" s="9" t="s">
        <v>24</v>
      </c>
      <c r="C282" s="10">
        <v>511.5</v>
      </c>
      <c r="D282" s="10">
        <v>-503.5</v>
      </c>
      <c r="E282" s="10">
        <f t="shared" si="9"/>
        <v>8</v>
      </c>
      <c r="H282" s="10">
        <v>8</v>
      </c>
    </row>
    <row r="283" spans="1:8">
      <c r="A283" s="9">
        <v>40</v>
      </c>
      <c r="B283" s="9" t="s">
        <v>23</v>
      </c>
      <c r="C283" s="10">
        <v>407</v>
      </c>
      <c r="D283" s="10">
        <v>-407</v>
      </c>
      <c r="E283" s="10">
        <f t="shared" si="9"/>
        <v>0</v>
      </c>
      <c r="H283" s="10">
        <v>187</v>
      </c>
    </row>
    <row r="284" spans="1:8">
      <c r="A284" s="9">
        <v>45</v>
      </c>
      <c r="B284" s="9" t="s">
        <v>22</v>
      </c>
      <c r="C284" s="10">
        <v>2143.2800000000002</v>
      </c>
      <c r="D284" s="10">
        <v>-2143.2800000000002</v>
      </c>
      <c r="E284" s="10">
        <f t="shared" si="9"/>
        <v>0</v>
      </c>
      <c r="H284" s="10">
        <v>31.340000000000146</v>
      </c>
    </row>
    <row r="285" spans="1:8">
      <c r="A285" s="9">
        <v>33</v>
      </c>
      <c r="B285" s="9" t="s">
        <v>21</v>
      </c>
      <c r="C285" s="10">
        <v>1132.5</v>
      </c>
      <c r="D285" s="10">
        <v>-1125</v>
      </c>
      <c r="E285" s="10">
        <f t="shared" si="9"/>
        <v>7.5</v>
      </c>
      <c r="H285" s="10">
        <v>7.5</v>
      </c>
    </row>
    <row r="286" spans="1:8">
      <c r="A286" s="9">
        <v>42</v>
      </c>
      <c r="B286" s="9" t="s">
        <v>20</v>
      </c>
      <c r="C286" s="10">
        <v>366.76</v>
      </c>
      <c r="D286" s="10">
        <v>-365.59</v>
      </c>
      <c r="E286" s="10">
        <f t="shared" si="9"/>
        <v>1.1700000000000159</v>
      </c>
      <c r="F286" s="10">
        <f>SUM(E231:E286)-SUM(F231:F285)</f>
        <v>5598.3499999999995</v>
      </c>
      <c r="H286" s="10">
        <v>1.1700000000000159</v>
      </c>
    </row>
    <row r="287" spans="1:8">
      <c r="C287" s="10">
        <f>SUM(C2:C286)</f>
        <v>368925.84</v>
      </c>
      <c r="D287" s="10">
        <f>SUM(D2:D286)</f>
        <v>-332925.04000000015</v>
      </c>
      <c r="E287" s="10">
        <f>SUM(E2:E286)</f>
        <v>36000.80000000001</v>
      </c>
    </row>
  </sheetData>
  <conditionalFormatting sqref="E2:E286">
    <cfRule type="cellIs" dxfId="2" priority="2" operator="greaterThan">
      <formula>$H$2</formula>
    </cfRule>
  </conditionalFormatting>
  <conditionalFormatting sqref="E2:E286">
    <cfRule type="cellIs" dxfId="1" priority="1" operator="greaterThan">
      <formula>H2</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3" operator="greaterThan" id="{32883A76-A67B-4101-82E4-053ACA88FA24}">
            <xm:f>'ANNEX A_ADF (18-19 YTD 190628)'!$E$2</xm:f>
            <x14:dxf>
              <font>
                <color rgb="FF9C0006"/>
              </font>
              <fill>
                <patternFill>
                  <bgColor rgb="FFFFC7CE"/>
                </patternFill>
              </fill>
            </x14:dxf>
          </x14:cfRule>
          <xm:sqref>E2:E286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82295-72BF-4204-885F-A47092A9DD22}">
  <dimension ref="A1:A10"/>
  <sheetViews>
    <sheetView workbookViewId="0">
      <selection activeCell="F30" sqref="F30"/>
    </sheetView>
  </sheetViews>
  <sheetFormatPr baseColWidth="10" defaultColWidth="9" defaultRowHeight="15"/>
  <cols>
    <col min="1" max="16384" width="9" style="9"/>
  </cols>
  <sheetData>
    <row r="1" spans="1:1">
      <c r="A1" s="9" t="s">
        <v>321</v>
      </c>
    </row>
    <row r="2" spans="1:1">
      <c r="A2" s="9" t="s">
        <v>320</v>
      </c>
    </row>
    <row r="3" spans="1:1">
      <c r="A3" s="9" t="s">
        <v>319</v>
      </c>
    </row>
    <row r="4" spans="1:1">
      <c r="A4" s="9" t="s">
        <v>318</v>
      </c>
    </row>
    <row r="5" spans="1:1">
      <c r="A5" s="9" t="s">
        <v>317</v>
      </c>
    </row>
    <row r="6" spans="1:1">
      <c r="A6" s="9" t="s">
        <v>316</v>
      </c>
    </row>
    <row r="7" spans="1:1">
      <c r="A7" s="9" t="s">
        <v>315</v>
      </c>
    </row>
    <row r="8" spans="1:1">
      <c r="A8" s="9" t="s">
        <v>314</v>
      </c>
    </row>
    <row r="9" spans="1:1">
      <c r="A9" s="9" t="s">
        <v>313</v>
      </c>
    </row>
    <row r="10" spans="1:1">
      <c r="A10" s="9"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566D-1FE6-4B33-A067-CFD98C1DB605}">
  <dimension ref="A1:X385"/>
  <sheetViews>
    <sheetView workbookViewId="0">
      <selection activeCell="S2" sqref="S2"/>
    </sheetView>
  </sheetViews>
  <sheetFormatPr baseColWidth="10" defaultColWidth="9" defaultRowHeight="15"/>
  <cols>
    <col min="1" max="1" width="9" style="31"/>
    <col min="2" max="2" width="40" style="31" bestFit="1" customWidth="1"/>
    <col min="3" max="3" width="22" style="31" bestFit="1" customWidth="1"/>
    <col min="4" max="4" width="23.33203125" style="31" hidden="1" customWidth="1"/>
    <col min="5" max="5" width="6.83203125" style="31" hidden="1" customWidth="1"/>
    <col min="6" max="6" width="10.5" style="31" bestFit="1" customWidth="1"/>
    <col min="7" max="7" width="12.83203125" style="31" hidden="1" customWidth="1"/>
    <col min="8" max="8" width="16.1640625" style="31" hidden="1" customWidth="1"/>
    <col min="9" max="9" width="13.5" style="31" hidden="1" customWidth="1"/>
    <col min="10" max="10" width="14.83203125" style="31" hidden="1" customWidth="1"/>
    <col min="11" max="11" width="14.6640625" style="31" bestFit="1" customWidth="1"/>
    <col min="12" max="12" width="8.6640625" style="31" hidden="1" customWidth="1"/>
    <col min="13" max="13" width="0" style="31" hidden="1" customWidth="1"/>
    <col min="14" max="14" width="13.83203125" style="31" hidden="1" customWidth="1"/>
    <col min="15" max="15" width="10.6640625" style="31" hidden="1" customWidth="1"/>
    <col min="16" max="16" width="29.33203125" style="31" hidden="1" customWidth="1"/>
    <col min="17" max="17" width="0" style="31" hidden="1" customWidth="1"/>
    <col min="18" max="18" width="9" style="31"/>
    <col min="19" max="19" width="9.1640625" style="31" bestFit="1" customWidth="1"/>
    <col min="20" max="20" width="14" style="31" bestFit="1" customWidth="1"/>
    <col min="21" max="21" width="9.1640625" style="31" bestFit="1" customWidth="1"/>
    <col min="22" max="22" width="14" style="31" bestFit="1" customWidth="1"/>
    <col min="23" max="23" width="9.1640625" style="31" bestFit="1" customWidth="1"/>
    <col min="24" max="24" width="14" style="31" bestFit="1" customWidth="1"/>
    <col min="25" max="16384" width="9" style="31"/>
  </cols>
  <sheetData>
    <row r="1" spans="1:24">
      <c r="B1" s="31" t="s">
        <v>530</v>
      </c>
      <c r="C1" s="31" t="s">
        <v>529</v>
      </c>
      <c r="D1" s="31" t="s">
        <v>528</v>
      </c>
      <c r="E1" s="31" t="s">
        <v>527</v>
      </c>
      <c r="F1" s="31" t="s">
        <v>526</v>
      </c>
      <c r="G1" s="31" t="s">
        <v>525</v>
      </c>
      <c r="H1" s="31" t="s">
        <v>524</v>
      </c>
      <c r="I1" s="31" t="s">
        <v>523</v>
      </c>
      <c r="J1" s="31" t="s">
        <v>522</v>
      </c>
      <c r="K1" s="31" t="s">
        <v>521</v>
      </c>
      <c r="L1" s="31" t="s">
        <v>361</v>
      </c>
      <c r="M1" s="31" t="s">
        <v>360</v>
      </c>
      <c r="N1" s="31" t="s">
        <v>520</v>
      </c>
      <c r="O1" s="31" t="s">
        <v>519</v>
      </c>
      <c r="P1" s="31" t="s">
        <v>518</v>
      </c>
      <c r="Q1" s="31" t="s">
        <v>517</v>
      </c>
      <c r="R1" s="31" t="s">
        <v>557</v>
      </c>
      <c r="S1" s="59" t="s">
        <v>532</v>
      </c>
      <c r="T1" s="66" t="s">
        <v>559</v>
      </c>
      <c r="U1" s="31" t="s">
        <v>533</v>
      </c>
      <c r="V1" s="66" t="s">
        <v>560</v>
      </c>
      <c r="W1" s="31" t="s">
        <v>534</v>
      </c>
      <c r="X1" s="66" t="s">
        <v>561</v>
      </c>
    </row>
    <row r="2" spans="1:24">
      <c r="A2" s="31" t="str">
        <f>LEFT(Table_query__44[[#This Row],[Title]],(FIND(" ",Table_query__44[[#This Row],[Title]],1)-1))</f>
        <v>AED</v>
      </c>
      <c r="B2" s="32" t="s">
        <v>499</v>
      </c>
      <c r="C2" s="32" t="s">
        <v>506</v>
      </c>
      <c r="D2" s="34">
        <v>32</v>
      </c>
      <c r="E2" s="34">
        <v>7</v>
      </c>
      <c r="F2" s="32" t="s">
        <v>499</v>
      </c>
      <c r="G2" s="34">
        <v>4485.5</v>
      </c>
      <c r="H2" s="34">
        <v>3077.2</v>
      </c>
      <c r="I2" s="34">
        <v>1247.8</v>
      </c>
      <c r="J2" s="34">
        <v>1247.8</v>
      </c>
      <c r="K2" s="36">
        <v>1124.2702956000001</v>
      </c>
      <c r="L2" s="32" t="s">
        <v>361</v>
      </c>
      <c r="M2" s="32"/>
      <c r="N2" s="32" t="s">
        <v>359</v>
      </c>
      <c r="O2" s="33">
        <v>43962.473252314812</v>
      </c>
      <c r="P2" s="32" t="s">
        <v>358</v>
      </c>
      <c r="Q2" s="32" t="s">
        <v>357</v>
      </c>
      <c r="R2" s="32"/>
      <c r="S2" s="32">
        <f>Table_query__44[[#This Row],[Grant Received]]*0.95</f>
        <v>1068.0567808200001</v>
      </c>
      <c r="T2" s="32"/>
      <c r="U2" s="32">
        <f>Table_query__44[[#This Row],[Grant Received]]*0.9</f>
        <v>1011.8432660400001</v>
      </c>
      <c r="V2" s="32"/>
      <c r="W2" s="32">
        <f>Table_query__44[[#This Row],[Grant Received]]*0.8</f>
        <v>899.41623648000007</v>
      </c>
      <c r="X2" s="32"/>
    </row>
    <row r="3" spans="1:24">
      <c r="A3" s="31" t="str">
        <f>LEFT(Table_query__44[[#This Row],[Title]],(FIND(" ",Table_query__44[[#This Row],[Title]],1)-1))</f>
        <v>AED</v>
      </c>
      <c r="B3" s="32" t="s">
        <v>499</v>
      </c>
      <c r="C3" s="32" t="s">
        <v>302</v>
      </c>
      <c r="D3" s="34">
        <v>200</v>
      </c>
      <c r="E3" s="34">
        <v>20</v>
      </c>
      <c r="F3" s="32" t="s">
        <v>499</v>
      </c>
      <c r="G3" s="34">
        <v>62863.945</v>
      </c>
      <c r="H3" s="34">
        <v>48409.02</v>
      </c>
      <c r="I3" s="34">
        <v>10480</v>
      </c>
      <c r="J3" s="34">
        <v>10480</v>
      </c>
      <c r="K3" s="36">
        <v>10480</v>
      </c>
      <c r="L3" s="32" t="s">
        <v>361</v>
      </c>
      <c r="M3" s="32"/>
      <c r="N3" s="32" t="s">
        <v>359</v>
      </c>
      <c r="O3" s="33">
        <v>43896.734456018516</v>
      </c>
      <c r="P3" s="32" t="s">
        <v>358</v>
      </c>
      <c r="Q3" s="32" t="s">
        <v>357</v>
      </c>
      <c r="R3" s="32"/>
      <c r="S3" s="32">
        <f>Table_query__44[[#This Row],[Grant Received]]*0.95</f>
        <v>9956</v>
      </c>
      <c r="T3" s="32"/>
      <c r="U3" s="32">
        <f>Table_query__44[[#This Row],[Grant Received]]*0.9</f>
        <v>9432</v>
      </c>
      <c r="V3" s="32"/>
      <c r="W3" s="32">
        <f>Table_query__44[[#This Row],[Grant Received]]*0.8</f>
        <v>8384</v>
      </c>
      <c r="X3" s="32"/>
    </row>
    <row r="4" spans="1:24">
      <c r="A4" s="31" t="str">
        <f>LEFT(Table_query__44[[#This Row],[Title]],(FIND(" ",Table_query__44[[#This Row],[Title]],1)-1))</f>
        <v>AED</v>
      </c>
      <c r="B4" s="32" t="s">
        <v>499</v>
      </c>
      <c r="C4" s="32" t="s">
        <v>301</v>
      </c>
      <c r="D4" s="34">
        <v>100</v>
      </c>
      <c r="E4" s="34">
        <v>10</v>
      </c>
      <c r="F4" s="32" t="s">
        <v>499</v>
      </c>
      <c r="G4" s="34">
        <v>15196.86</v>
      </c>
      <c r="H4" s="34">
        <v>10814.86</v>
      </c>
      <c r="I4" s="34">
        <v>3484.5</v>
      </c>
      <c r="J4" s="34">
        <v>3484.5</v>
      </c>
      <c r="K4" s="36">
        <v>3484.5</v>
      </c>
      <c r="L4" s="32" t="s">
        <v>361</v>
      </c>
      <c r="M4" s="32"/>
      <c r="N4" s="32" t="s">
        <v>359</v>
      </c>
      <c r="O4" s="33">
        <v>43896.734548611108</v>
      </c>
      <c r="P4" s="32" t="s">
        <v>358</v>
      </c>
      <c r="Q4" s="32" t="s">
        <v>357</v>
      </c>
      <c r="R4" s="32"/>
      <c r="S4" s="32">
        <f>Table_query__44[[#This Row],[Grant Received]]*0.95</f>
        <v>3310.2749999999996</v>
      </c>
      <c r="T4" s="32"/>
      <c r="U4" s="32">
        <f>Table_query__44[[#This Row],[Grant Received]]*0.9</f>
        <v>3136.05</v>
      </c>
      <c r="V4" s="32"/>
      <c r="W4" s="32">
        <f>Table_query__44[[#This Row],[Grant Received]]*0.8</f>
        <v>2787.6000000000004</v>
      </c>
      <c r="X4" s="32"/>
    </row>
    <row r="5" spans="1:24">
      <c r="A5" s="31" t="str">
        <f>LEFT(Table_query__44[[#This Row],[Title]],(FIND(" ",Table_query__44[[#This Row],[Title]],1)-1))</f>
        <v>AED</v>
      </c>
      <c r="B5" s="32" t="s">
        <v>499</v>
      </c>
      <c r="C5" s="32" t="s">
        <v>300</v>
      </c>
      <c r="D5" s="34">
        <v>250</v>
      </c>
      <c r="E5" s="34">
        <v>0</v>
      </c>
      <c r="F5" s="32" t="s">
        <v>499</v>
      </c>
      <c r="G5" s="34">
        <v>2844.4</v>
      </c>
      <c r="H5" s="34">
        <v>3790.3</v>
      </c>
      <c r="I5" s="34">
        <v>0</v>
      </c>
      <c r="J5" s="34"/>
      <c r="K5" s="36"/>
      <c r="L5" s="32" t="s">
        <v>361</v>
      </c>
      <c r="M5" s="32"/>
      <c r="N5" s="32" t="s">
        <v>359</v>
      </c>
      <c r="O5" s="33">
        <v>43896.7346412037</v>
      </c>
      <c r="P5" s="32" t="s">
        <v>358</v>
      </c>
      <c r="Q5" s="32" t="s">
        <v>357</v>
      </c>
      <c r="R5" s="32"/>
      <c r="S5" s="32">
        <f>Table_query__44[[#This Row],[Grant Received]]*0.95</f>
        <v>0</v>
      </c>
      <c r="T5" s="32"/>
      <c r="U5" s="32">
        <f>Table_query__44[[#This Row],[Grant Received]]*0.9</f>
        <v>0</v>
      </c>
      <c r="V5" s="32"/>
      <c r="W5" s="32">
        <f>Table_query__44[[#This Row],[Grant Received]]*0.8</f>
        <v>0</v>
      </c>
      <c r="X5" s="32"/>
    </row>
    <row r="6" spans="1:24">
      <c r="A6" s="31" t="str">
        <f>LEFT(Table_query__44[[#This Row],[Title]],(FIND(" ",Table_query__44[[#This Row],[Title]],1)-1))</f>
        <v>AED</v>
      </c>
      <c r="B6" s="32" t="s">
        <v>499</v>
      </c>
      <c r="C6" s="32" t="s">
        <v>299</v>
      </c>
      <c r="D6" s="34">
        <v>130</v>
      </c>
      <c r="E6" s="34">
        <v>8</v>
      </c>
      <c r="F6" s="32" t="s">
        <v>499</v>
      </c>
      <c r="G6" s="34">
        <v>8715.6</v>
      </c>
      <c r="H6" s="34">
        <v>4649</v>
      </c>
      <c r="I6" s="34">
        <v>3063.6</v>
      </c>
      <c r="J6" s="34">
        <v>3063.6</v>
      </c>
      <c r="K6" s="36">
        <v>2339.0585999999998</v>
      </c>
      <c r="L6" s="32" t="s">
        <v>361</v>
      </c>
      <c r="M6" s="32"/>
      <c r="N6" s="32" t="s">
        <v>359</v>
      </c>
      <c r="O6" s="33">
        <v>43901.508136574077</v>
      </c>
      <c r="P6" s="32" t="s">
        <v>358</v>
      </c>
      <c r="Q6" s="32" t="s">
        <v>357</v>
      </c>
      <c r="R6" s="32"/>
      <c r="S6" s="32">
        <f>Table_query__44[[#This Row],[Grant Received]]*0.95</f>
        <v>2222.1056699999999</v>
      </c>
      <c r="T6" s="32"/>
      <c r="U6" s="32">
        <f>Table_query__44[[#This Row],[Grant Received]]*0.9</f>
        <v>2105.15274</v>
      </c>
      <c r="V6" s="32"/>
      <c r="W6" s="32">
        <f>Table_query__44[[#This Row],[Grant Received]]*0.8</f>
        <v>1871.2468799999999</v>
      </c>
      <c r="X6" s="32"/>
    </row>
    <row r="7" spans="1:24">
      <c r="A7" s="31" t="str">
        <f>LEFT(Table_query__44[[#This Row],[Title]],(FIND(" ",Table_query__44[[#This Row],[Title]],1)-1))</f>
        <v>AEE</v>
      </c>
      <c r="B7" s="32" t="s">
        <v>498</v>
      </c>
      <c r="C7" s="32" t="s">
        <v>298</v>
      </c>
      <c r="D7" s="34"/>
      <c r="E7" s="34"/>
      <c r="F7" s="32" t="s">
        <v>498</v>
      </c>
      <c r="G7" s="34"/>
      <c r="H7" s="34"/>
      <c r="I7" s="34"/>
      <c r="J7" s="34"/>
      <c r="K7" s="36"/>
      <c r="L7" s="32" t="s">
        <v>361</v>
      </c>
      <c r="M7" s="32"/>
      <c r="N7" s="32" t="s">
        <v>359</v>
      </c>
      <c r="O7" s="33">
        <v>43896.734976851854</v>
      </c>
      <c r="P7" s="32" t="s">
        <v>358</v>
      </c>
      <c r="Q7" s="32" t="s">
        <v>357</v>
      </c>
      <c r="R7" s="32"/>
      <c r="S7" s="32">
        <f>Table_query__44[[#This Row],[Grant Received]]*0.95</f>
        <v>0</v>
      </c>
      <c r="T7" s="32"/>
      <c r="U7" s="32">
        <f>Table_query__44[[#This Row],[Grant Received]]*0.9</f>
        <v>0</v>
      </c>
      <c r="V7" s="32"/>
      <c r="W7" s="32">
        <f>Table_query__44[[#This Row],[Grant Received]]*0.8</f>
        <v>0</v>
      </c>
      <c r="X7" s="32"/>
    </row>
    <row r="8" spans="1:24">
      <c r="A8" s="31" t="str">
        <f>LEFT(Table_query__44[[#This Row],[Title]],(FIND(" ",Table_query__44[[#This Row],[Title]],1)-1))</f>
        <v>AEE</v>
      </c>
      <c r="B8" s="32" t="s">
        <v>498</v>
      </c>
      <c r="C8" s="32" t="s">
        <v>297</v>
      </c>
      <c r="D8" s="34">
        <v>65</v>
      </c>
      <c r="E8" s="34">
        <v>8</v>
      </c>
      <c r="F8" s="32" t="s">
        <v>498</v>
      </c>
      <c r="G8" s="34">
        <v>48363.3</v>
      </c>
      <c r="H8" s="34">
        <v>46175</v>
      </c>
      <c r="I8" s="34">
        <v>2132</v>
      </c>
      <c r="J8" s="34">
        <v>1932</v>
      </c>
      <c r="K8" s="36">
        <v>1926</v>
      </c>
      <c r="L8" s="32" t="s">
        <v>361</v>
      </c>
      <c r="M8" s="32"/>
      <c r="N8" s="32" t="s">
        <v>359</v>
      </c>
      <c r="O8" s="33">
        <v>43896.735046296293</v>
      </c>
      <c r="P8" s="32" t="s">
        <v>358</v>
      </c>
      <c r="Q8" s="32" t="s">
        <v>357</v>
      </c>
      <c r="R8" s="32"/>
      <c r="S8" s="32">
        <f>Table_query__44[[#This Row],[Grant Received]]*0.95</f>
        <v>1829.6999999999998</v>
      </c>
      <c r="T8" s="32"/>
      <c r="U8" s="32">
        <f>Table_query__44[[#This Row],[Grant Received]]*0.9</f>
        <v>1733.4</v>
      </c>
      <c r="V8" s="32"/>
      <c r="W8" s="32">
        <f>Table_query__44[[#This Row],[Grant Received]]*0.8</f>
        <v>1540.8000000000002</v>
      </c>
      <c r="X8" s="32"/>
    </row>
    <row r="9" spans="1:24">
      <c r="A9" s="31" t="str">
        <f>LEFT(Table_query__44[[#This Row],[Title]],(FIND(" ",Table_query__44[[#This Row],[Title]],1)-1))</f>
        <v>AEE</v>
      </c>
      <c r="B9" s="32" t="s">
        <v>498</v>
      </c>
      <c r="C9" s="32" t="s">
        <v>296</v>
      </c>
      <c r="D9" s="34">
        <v>25</v>
      </c>
      <c r="E9" s="34">
        <v>4.17</v>
      </c>
      <c r="F9" s="32" t="s">
        <v>498</v>
      </c>
      <c r="G9" s="34">
        <v>219.18</v>
      </c>
      <c r="H9" s="34">
        <v>62.51</v>
      </c>
      <c r="I9" s="34">
        <v>43.3</v>
      </c>
      <c r="J9" s="34">
        <v>42.5</v>
      </c>
      <c r="K9" s="36">
        <v>40</v>
      </c>
      <c r="L9" s="32" t="s">
        <v>361</v>
      </c>
      <c r="M9" s="32"/>
      <c r="N9" s="32" t="s">
        <v>359</v>
      </c>
      <c r="O9" s="33">
        <v>43896.735162037039</v>
      </c>
      <c r="P9" s="32" t="s">
        <v>358</v>
      </c>
      <c r="Q9" s="32" t="s">
        <v>357</v>
      </c>
      <c r="R9" s="32"/>
      <c r="S9" s="32">
        <f>Table_query__44[[#This Row],[Grant Received]]*0.95</f>
        <v>38</v>
      </c>
      <c r="T9" s="32"/>
      <c r="U9" s="32">
        <f>Table_query__44[[#This Row],[Grant Received]]*0.9</f>
        <v>36</v>
      </c>
      <c r="V9" s="32"/>
      <c r="W9" s="32">
        <f>Table_query__44[[#This Row],[Grant Received]]*0.8</f>
        <v>32</v>
      </c>
      <c r="X9" s="32"/>
    </row>
    <row r="10" spans="1:24">
      <c r="A10" s="31" t="str">
        <f>LEFT(Table_query__44[[#This Row],[Title]],(FIND(" ",Table_query__44[[#This Row],[Title]],1)-1))</f>
        <v>AEE</v>
      </c>
      <c r="B10" s="32" t="s">
        <v>498</v>
      </c>
      <c r="C10" s="32" t="s">
        <v>295</v>
      </c>
      <c r="D10" s="34">
        <v>20</v>
      </c>
      <c r="E10" s="34">
        <v>10</v>
      </c>
      <c r="F10" s="32" t="s">
        <v>498</v>
      </c>
      <c r="G10" s="34">
        <v>17060.78</v>
      </c>
      <c r="H10" s="34">
        <v>13931.58</v>
      </c>
      <c r="I10" s="34">
        <v>676.18</v>
      </c>
      <c r="J10" s="34">
        <v>676.18</v>
      </c>
      <c r="K10" s="36">
        <v>517.95388000000003</v>
      </c>
      <c r="L10" s="32" t="s">
        <v>361</v>
      </c>
      <c r="M10" s="32"/>
      <c r="N10" s="32" t="s">
        <v>359</v>
      </c>
      <c r="O10" s="33">
        <v>43901.509699074071</v>
      </c>
      <c r="P10" s="32" t="s">
        <v>358</v>
      </c>
      <c r="Q10" s="32" t="s">
        <v>357</v>
      </c>
      <c r="R10" s="32"/>
      <c r="S10" s="32">
        <f>Table_query__44[[#This Row],[Grant Received]]*0.95</f>
        <v>492.05618600000003</v>
      </c>
      <c r="T10" s="32"/>
      <c r="U10" s="32">
        <f>Table_query__44[[#This Row],[Grant Received]]*0.9</f>
        <v>466.15849200000002</v>
      </c>
      <c r="V10" s="32"/>
      <c r="W10" s="32">
        <f>Table_query__44[[#This Row],[Grant Received]]*0.8</f>
        <v>414.36310400000002</v>
      </c>
      <c r="X10" s="32"/>
    </row>
    <row r="11" spans="1:24">
      <c r="A11" s="31" t="str">
        <f>LEFT(Table_query__44[[#This Row],[Title]],(FIND(" ",Table_query__44[[#This Row],[Title]],1)-1))</f>
        <v>AEE</v>
      </c>
      <c r="B11" s="32" t="s">
        <v>498</v>
      </c>
      <c r="C11" s="32" t="s">
        <v>294</v>
      </c>
      <c r="D11" s="34">
        <v>200</v>
      </c>
      <c r="E11" s="34">
        <v>4.17</v>
      </c>
      <c r="F11" s="32" t="s">
        <v>498</v>
      </c>
      <c r="G11" s="34">
        <v>11216.5375</v>
      </c>
      <c r="H11" s="34">
        <v>7888.64</v>
      </c>
      <c r="I11" s="34">
        <v>2493.89</v>
      </c>
      <c r="J11" s="34">
        <v>2415.7600000000002</v>
      </c>
      <c r="K11" s="36">
        <v>2415.7600000000002</v>
      </c>
      <c r="L11" s="32" t="s">
        <v>361</v>
      </c>
      <c r="M11" s="32"/>
      <c r="N11" s="32" t="s">
        <v>359</v>
      </c>
      <c r="O11" s="33">
        <v>43896.735254629632</v>
      </c>
      <c r="P11" s="32" t="s">
        <v>358</v>
      </c>
      <c r="Q11" s="32" t="s">
        <v>357</v>
      </c>
      <c r="R11" s="32"/>
      <c r="S11" s="32">
        <f>Table_query__44[[#This Row],[Grant Received]]*0.95</f>
        <v>2294.9720000000002</v>
      </c>
      <c r="T11" s="32"/>
      <c r="U11" s="32">
        <f>Table_query__44[[#This Row],[Grant Received]]*0.9</f>
        <v>2174.1840000000002</v>
      </c>
      <c r="V11" s="32"/>
      <c r="W11" s="32">
        <f>Table_query__44[[#This Row],[Grant Received]]*0.8</f>
        <v>1932.6080000000002</v>
      </c>
      <c r="X11" s="32"/>
    </row>
    <row r="12" spans="1:24">
      <c r="A12" s="31" t="str">
        <f>LEFT(Table_query__44[[#This Row],[Title]],(FIND(" ",Table_query__44[[#This Row],[Title]],1)-1))</f>
        <v>AEE</v>
      </c>
      <c r="B12" s="32" t="s">
        <v>498</v>
      </c>
      <c r="C12" s="32" t="s">
        <v>293</v>
      </c>
      <c r="D12" s="34">
        <v>52</v>
      </c>
      <c r="E12" s="34">
        <v>10</v>
      </c>
      <c r="F12" s="32" t="s">
        <v>498</v>
      </c>
      <c r="G12" s="34">
        <v>13056.8</v>
      </c>
      <c r="H12" s="34">
        <v>10157.799999999999</v>
      </c>
      <c r="I12" s="34">
        <v>2448.5100000000002</v>
      </c>
      <c r="J12" s="34">
        <v>2428.5100000000002</v>
      </c>
      <c r="K12" s="36">
        <v>2428.5100000000002</v>
      </c>
      <c r="L12" s="32" t="s">
        <v>361</v>
      </c>
      <c r="M12" s="32"/>
      <c r="N12" s="32" t="s">
        <v>359</v>
      </c>
      <c r="O12" s="33">
        <v>43896.735347222224</v>
      </c>
      <c r="P12" s="32" t="s">
        <v>358</v>
      </c>
      <c r="Q12" s="32" t="s">
        <v>357</v>
      </c>
      <c r="R12" s="32"/>
      <c r="S12" s="32">
        <f>Table_query__44[[#This Row],[Grant Received]]*0.95</f>
        <v>2307.0844999999999</v>
      </c>
      <c r="T12" s="32"/>
      <c r="U12" s="32">
        <f>Table_query__44[[#This Row],[Grant Received]]*0.9</f>
        <v>2185.6590000000001</v>
      </c>
      <c r="V12" s="32"/>
      <c r="W12" s="32">
        <f>Table_query__44[[#This Row],[Grant Received]]*0.8</f>
        <v>1942.8080000000002</v>
      </c>
      <c r="X12" s="32"/>
    </row>
    <row r="13" spans="1:24">
      <c r="A13" s="31" t="str">
        <f>LEFT(Table_query__44[[#This Row],[Title]],(FIND(" ",Table_query__44[[#This Row],[Title]],1)-1))</f>
        <v>AEF</v>
      </c>
      <c r="B13" s="32" t="s">
        <v>496</v>
      </c>
      <c r="C13" s="32" t="s">
        <v>292</v>
      </c>
      <c r="D13" s="34">
        <v>120</v>
      </c>
      <c r="E13" s="34">
        <v>8</v>
      </c>
      <c r="F13" s="32" t="s">
        <v>496</v>
      </c>
      <c r="G13" s="34">
        <v>6755</v>
      </c>
      <c r="H13" s="34">
        <v>4690</v>
      </c>
      <c r="I13" s="34">
        <v>1120</v>
      </c>
      <c r="J13" s="34">
        <v>1120</v>
      </c>
      <c r="K13" s="36">
        <v>1022.224</v>
      </c>
      <c r="L13" s="32" t="s">
        <v>361</v>
      </c>
      <c r="M13" s="32"/>
      <c r="N13" s="32" t="s">
        <v>359</v>
      </c>
      <c r="O13" s="33">
        <v>43901.51090277778</v>
      </c>
      <c r="P13" s="32" t="s">
        <v>358</v>
      </c>
      <c r="Q13" s="32" t="s">
        <v>357</v>
      </c>
      <c r="R13" s="32"/>
      <c r="S13" s="32">
        <f>Table_query__44[[#This Row],[Grant Received]]*0.95</f>
        <v>971.11279999999999</v>
      </c>
      <c r="T13" s="32"/>
      <c r="U13" s="32">
        <f>Table_query__44[[#This Row],[Grant Received]]*0.9</f>
        <v>920.00160000000005</v>
      </c>
      <c r="V13" s="32"/>
      <c r="W13" s="32">
        <f>Table_query__44[[#This Row],[Grant Received]]*0.8</f>
        <v>817.77920000000006</v>
      </c>
      <c r="X13" s="32"/>
    </row>
    <row r="14" spans="1:24">
      <c r="A14" s="31" t="str">
        <f>LEFT(Table_query__44[[#This Row],[Title]],(FIND(" ",Table_query__44[[#This Row],[Title]],1)-1))</f>
        <v>AEF</v>
      </c>
      <c r="B14" s="32" t="s">
        <v>496</v>
      </c>
      <c r="C14" s="32" t="s">
        <v>291</v>
      </c>
      <c r="D14" s="34">
        <v>20</v>
      </c>
      <c r="E14" s="34">
        <v>2</v>
      </c>
      <c r="F14" s="32" t="s">
        <v>496</v>
      </c>
      <c r="G14" s="34">
        <v>402.72</v>
      </c>
      <c r="H14" s="34">
        <v>326</v>
      </c>
      <c r="I14" s="34">
        <v>104.5</v>
      </c>
      <c r="J14" s="34">
        <v>104.5</v>
      </c>
      <c r="K14" s="36">
        <v>104.5</v>
      </c>
      <c r="L14" s="32" t="s">
        <v>361</v>
      </c>
      <c r="M14" s="32"/>
      <c r="N14" s="32" t="s">
        <v>359</v>
      </c>
      <c r="O14" s="33">
        <v>43896.74796296296</v>
      </c>
      <c r="P14" s="32" t="s">
        <v>358</v>
      </c>
      <c r="Q14" s="32" t="s">
        <v>357</v>
      </c>
      <c r="R14" s="32"/>
      <c r="S14" s="32">
        <f>Table_query__44[[#This Row],[Grant Received]]*0.95</f>
        <v>99.274999999999991</v>
      </c>
      <c r="T14" s="32"/>
      <c r="U14" s="32">
        <f>Table_query__44[[#This Row],[Grant Received]]*0.9</f>
        <v>94.05</v>
      </c>
      <c r="V14" s="32"/>
      <c r="W14" s="32">
        <f>Table_query__44[[#This Row],[Grant Received]]*0.8</f>
        <v>83.600000000000009</v>
      </c>
      <c r="X14" s="32"/>
    </row>
    <row r="15" spans="1:24">
      <c r="A15" s="31" t="str">
        <f>LEFT(Table_query__44[[#This Row],[Title]],(FIND(" ",Table_query__44[[#This Row],[Title]],1)-1))</f>
        <v>AEF</v>
      </c>
      <c r="B15" s="32" t="s">
        <v>496</v>
      </c>
      <c r="C15" s="32" t="s">
        <v>497</v>
      </c>
      <c r="D15" s="34">
        <v>20</v>
      </c>
      <c r="E15" s="34">
        <v>3.25</v>
      </c>
      <c r="F15" s="32" t="s">
        <v>496</v>
      </c>
      <c r="G15" s="34">
        <v>65.11</v>
      </c>
      <c r="H15" s="34">
        <v>0</v>
      </c>
      <c r="I15" s="34">
        <v>65.11</v>
      </c>
      <c r="J15" s="34">
        <v>65.11</v>
      </c>
      <c r="K15" s="36">
        <v>65.11</v>
      </c>
      <c r="L15" s="32" t="s">
        <v>361</v>
      </c>
      <c r="M15" s="32"/>
      <c r="N15" s="32" t="s">
        <v>359</v>
      </c>
      <c r="O15" s="33">
        <v>43896.748078703706</v>
      </c>
      <c r="P15" s="32" t="s">
        <v>358</v>
      </c>
      <c r="Q15" s="32" t="s">
        <v>357</v>
      </c>
      <c r="R15" s="32"/>
      <c r="S15" s="32">
        <f>Table_query__44[[#This Row],[Grant Received]]*0.95</f>
        <v>61.854499999999994</v>
      </c>
      <c r="T15" s="32"/>
      <c r="U15" s="32">
        <f>Table_query__44[[#This Row],[Grant Received]]*0.9</f>
        <v>58.599000000000004</v>
      </c>
      <c r="V15" s="32"/>
      <c r="W15" s="32">
        <f>Table_query__44[[#This Row],[Grant Received]]*0.8</f>
        <v>52.088000000000001</v>
      </c>
      <c r="X15" s="32"/>
    </row>
    <row r="16" spans="1:24">
      <c r="A16" s="31" t="str">
        <f>LEFT(Table_query__44[[#This Row],[Title]],(FIND(" ",Table_query__44[[#This Row],[Title]],1)-1))</f>
        <v>AEF</v>
      </c>
      <c r="B16" s="32" t="s">
        <v>496</v>
      </c>
      <c r="C16" s="32" t="s">
        <v>290</v>
      </c>
      <c r="D16" s="34">
        <v>45</v>
      </c>
      <c r="E16" s="34">
        <v>2.4</v>
      </c>
      <c r="F16" s="32" t="s">
        <v>496</v>
      </c>
      <c r="G16" s="34">
        <v>1860</v>
      </c>
      <c r="H16" s="34">
        <v>1740</v>
      </c>
      <c r="I16" s="34">
        <v>540</v>
      </c>
      <c r="J16" s="34">
        <v>540</v>
      </c>
      <c r="K16" s="36">
        <v>540</v>
      </c>
      <c r="L16" s="32" t="s">
        <v>361</v>
      </c>
      <c r="M16" s="32"/>
      <c r="N16" s="32" t="s">
        <v>359</v>
      </c>
      <c r="O16" s="33">
        <v>43896.748819444445</v>
      </c>
      <c r="P16" s="32" t="s">
        <v>358</v>
      </c>
      <c r="Q16" s="32" t="s">
        <v>357</v>
      </c>
      <c r="R16" s="32"/>
      <c r="S16" s="32">
        <f>Table_query__44[[#This Row],[Grant Received]]*0.95</f>
        <v>513</v>
      </c>
      <c r="T16" s="32"/>
      <c r="U16" s="32">
        <f>Table_query__44[[#This Row],[Grant Received]]*0.9</f>
        <v>486</v>
      </c>
      <c r="V16" s="32"/>
      <c r="W16" s="32">
        <f>Table_query__44[[#This Row],[Grant Received]]*0.8</f>
        <v>432</v>
      </c>
      <c r="X16" s="32"/>
    </row>
    <row r="17" spans="1:24">
      <c r="A17" s="31" t="str">
        <f>LEFT(Table_query__44[[#This Row],[Title]],(FIND(" ",Table_query__44[[#This Row],[Title]],1)-1))</f>
        <v>AEF</v>
      </c>
      <c r="B17" s="32" t="s">
        <v>496</v>
      </c>
      <c r="C17" s="32" t="s">
        <v>289</v>
      </c>
      <c r="D17" s="34">
        <v>165</v>
      </c>
      <c r="E17" s="34">
        <v>7</v>
      </c>
      <c r="F17" s="32" t="s">
        <v>496</v>
      </c>
      <c r="G17" s="34">
        <v>2993.4</v>
      </c>
      <c r="H17" s="34">
        <v>1022</v>
      </c>
      <c r="I17" s="34">
        <v>1030</v>
      </c>
      <c r="J17" s="34">
        <v>1030</v>
      </c>
      <c r="K17" s="36">
        <v>1030</v>
      </c>
      <c r="L17" s="32" t="s">
        <v>361</v>
      </c>
      <c r="M17" s="32"/>
      <c r="N17" s="32" t="s">
        <v>359</v>
      </c>
      <c r="O17" s="33">
        <v>43896.749074074076</v>
      </c>
      <c r="P17" s="32" t="s">
        <v>358</v>
      </c>
      <c r="Q17" s="32" t="s">
        <v>357</v>
      </c>
      <c r="R17" s="32"/>
      <c r="S17" s="32">
        <f>Table_query__44[[#This Row],[Grant Received]]*0.95</f>
        <v>978.5</v>
      </c>
      <c r="T17" s="32"/>
      <c r="U17" s="32">
        <f>Table_query__44[[#This Row],[Grant Received]]*0.9</f>
        <v>927</v>
      </c>
      <c r="V17" s="32"/>
      <c r="W17" s="32">
        <f>Table_query__44[[#This Row],[Grant Received]]*0.8</f>
        <v>824</v>
      </c>
      <c r="X17" s="32"/>
    </row>
    <row r="18" spans="1:24">
      <c r="A18" s="31" t="str">
        <f>LEFT(Table_query__44[[#This Row],[Title]],(FIND(" ",Table_query__44[[#This Row],[Title]],1)-1))</f>
        <v>AEF</v>
      </c>
      <c r="B18" s="32" t="s">
        <v>496</v>
      </c>
      <c r="C18" s="32" t="s">
        <v>514</v>
      </c>
      <c r="D18" s="34">
        <v>30</v>
      </c>
      <c r="E18" s="34">
        <v>3</v>
      </c>
      <c r="F18" s="32" t="s">
        <v>496</v>
      </c>
      <c r="G18" s="34">
        <v>1029.25</v>
      </c>
      <c r="H18" s="34">
        <v>745</v>
      </c>
      <c r="I18" s="34">
        <v>200</v>
      </c>
      <c r="J18" s="34">
        <v>200</v>
      </c>
      <c r="K18" s="36">
        <v>129.26</v>
      </c>
      <c r="L18" s="32" t="s">
        <v>361</v>
      </c>
      <c r="M18" s="32"/>
      <c r="N18" s="32" t="s">
        <v>359</v>
      </c>
      <c r="O18" s="33">
        <v>43901.511018518519</v>
      </c>
      <c r="P18" s="32" t="s">
        <v>358</v>
      </c>
      <c r="Q18" s="32" t="s">
        <v>357</v>
      </c>
      <c r="R18" s="32"/>
      <c r="S18" s="32">
        <f>Table_query__44[[#This Row],[Grant Received]]*0.95</f>
        <v>122.79699999999998</v>
      </c>
      <c r="T18" s="32"/>
      <c r="U18" s="32">
        <f>Table_query__44[[#This Row],[Grant Received]]*0.9</f>
        <v>116.33399999999999</v>
      </c>
      <c r="V18" s="32"/>
      <c r="W18" s="32">
        <f>Table_query__44[[#This Row],[Grant Received]]*0.8</f>
        <v>103.408</v>
      </c>
      <c r="X18" s="32"/>
    </row>
    <row r="19" spans="1:24">
      <c r="A19" s="31" t="str">
        <f>LEFT(Table_query__44[[#This Row],[Title]],(FIND(" ",Table_query__44[[#This Row],[Title]],1)-1))</f>
        <v>AEME</v>
      </c>
      <c r="B19" s="32" t="s">
        <v>495</v>
      </c>
      <c r="C19" s="32" t="s">
        <v>288</v>
      </c>
      <c r="D19" s="34">
        <v>70</v>
      </c>
      <c r="E19" s="34">
        <v>15</v>
      </c>
      <c r="F19" s="32" t="s">
        <v>495</v>
      </c>
      <c r="G19" s="34">
        <v>4910</v>
      </c>
      <c r="H19" s="34">
        <v>3160</v>
      </c>
      <c r="I19" s="34">
        <v>800</v>
      </c>
      <c r="J19" s="34">
        <v>800</v>
      </c>
      <c r="K19" s="36">
        <v>725</v>
      </c>
      <c r="L19" s="32" t="s">
        <v>361</v>
      </c>
      <c r="M19" s="32"/>
      <c r="N19" s="32" t="s">
        <v>359</v>
      </c>
      <c r="O19" s="33">
        <v>43889.901319444441</v>
      </c>
      <c r="P19" s="32" t="s">
        <v>358</v>
      </c>
      <c r="Q19" s="32" t="s">
        <v>357</v>
      </c>
      <c r="R19" s="32"/>
      <c r="S19" s="32">
        <f>Table_query__44[[#This Row],[Grant Received]]*0.95</f>
        <v>688.75</v>
      </c>
      <c r="T19" s="32"/>
      <c r="U19" s="32">
        <f>Table_query__44[[#This Row],[Grant Received]]*0.9</f>
        <v>652.5</v>
      </c>
      <c r="V19" s="32"/>
      <c r="W19" s="32">
        <f>Table_query__44[[#This Row],[Grant Received]]*0.8</f>
        <v>580</v>
      </c>
      <c r="X19" s="32"/>
    </row>
    <row r="20" spans="1:24">
      <c r="A20" s="31" t="str">
        <f>LEFT(Table_query__44[[#This Row],[Title]],(FIND(" ",Table_query__44[[#This Row],[Title]],1)-1))</f>
        <v>AEME</v>
      </c>
      <c r="B20" s="32" t="s">
        <v>495</v>
      </c>
      <c r="C20" s="32" t="s">
        <v>287</v>
      </c>
      <c r="D20" s="34">
        <v>80</v>
      </c>
      <c r="E20" s="34">
        <v>0</v>
      </c>
      <c r="F20" s="32" t="s">
        <v>495</v>
      </c>
      <c r="G20" s="34">
        <v>3685</v>
      </c>
      <c r="H20" s="34">
        <v>2488</v>
      </c>
      <c r="I20" s="34">
        <v>1197</v>
      </c>
      <c r="J20" s="34">
        <v>1197</v>
      </c>
      <c r="K20" s="36">
        <v>969.80939999999998</v>
      </c>
      <c r="L20" s="32" t="s">
        <v>361</v>
      </c>
      <c r="M20" s="32"/>
      <c r="N20" s="32" t="s">
        <v>359</v>
      </c>
      <c r="O20" s="33">
        <v>43901.511412037034</v>
      </c>
      <c r="P20" s="32" t="s">
        <v>358</v>
      </c>
      <c r="Q20" s="32" t="s">
        <v>357</v>
      </c>
      <c r="R20" s="32"/>
      <c r="S20" s="32">
        <f>Table_query__44[[#This Row],[Grant Received]]*0.95</f>
        <v>921.31892999999991</v>
      </c>
      <c r="T20" s="32"/>
      <c r="U20" s="32">
        <f>Table_query__44[[#This Row],[Grant Received]]*0.9</f>
        <v>872.82845999999995</v>
      </c>
      <c r="V20" s="32"/>
      <c r="W20" s="32">
        <f>Table_query__44[[#This Row],[Grant Received]]*0.8</f>
        <v>775.84752000000003</v>
      </c>
      <c r="X20" s="32"/>
    </row>
    <row r="21" spans="1:24">
      <c r="A21" s="31" t="str">
        <f>LEFT(Table_query__44[[#This Row],[Title]],(FIND(" ",Table_query__44[[#This Row],[Title]],1)-1))</f>
        <v>AEME</v>
      </c>
      <c r="B21" s="32" t="s">
        <v>495</v>
      </c>
      <c r="C21" s="32" t="s">
        <v>286</v>
      </c>
      <c r="D21" s="34">
        <v>70</v>
      </c>
      <c r="E21" s="34">
        <v>12</v>
      </c>
      <c r="F21" s="32" t="s">
        <v>495</v>
      </c>
      <c r="G21" s="34">
        <v>1394</v>
      </c>
      <c r="H21" s="34">
        <v>250</v>
      </c>
      <c r="I21" s="34">
        <v>345</v>
      </c>
      <c r="J21" s="34">
        <v>325</v>
      </c>
      <c r="K21" s="36">
        <v>325</v>
      </c>
      <c r="L21" s="32" t="s">
        <v>361</v>
      </c>
      <c r="M21" s="32"/>
      <c r="N21" s="32" t="s">
        <v>359</v>
      </c>
      <c r="O21" s="33">
        <v>43896.774085648147</v>
      </c>
      <c r="P21" s="32" t="s">
        <v>358</v>
      </c>
      <c r="Q21" s="32" t="s">
        <v>357</v>
      </c>
      <c r="R21" s="32"/>
      <c r="S21" s="32">
        <f>Table_query__44[[#This Row],[Grant Received]]*0.95</f>
        <v>308.75</v>
      </c>
      <c r="T21" s="32"/>
      <c r="U21" s="32">
        <f>Table_query__44[[#This Row],[Grant Received]]*0.9</f>
        <v>292.5</v>
      </c>
      <c r="V21" s="32"/>
      <c r="W21" s="32">
        <f>Table_query__44[[#This Row],[Grant Received]]*0.8</f>
        <v>260</v>
      </c>
      <c r="X21" s="32"/>
    </row>
    <row r="22" spans="1:24">
      <c r="A22" s="31" t="str">
        <f>LEFT(Table_query__44[[#This Row],[Title]],(FIND(" ",Table_query__44[[#This Row],[Title]],1)-1))</f>
        <v>AEME</v>
      </c>
      <c r="B22" s="32" t="s">
        <v>495</v>
      </c>
      <c r="C22" s="32" t="s">
        <v>285</v>
      </c>
      <c r="D22" s="34">
        <v>40</v>
      </c>
      <c r="E22" s="34">
        <v>10</v>
      </c>
      <c r="F22" s="32" t="s">
        <v>495</v>
      </c>
      <c r="G22" s="34">
        <v>2432</v>
      </c>
      <c r="H22" s="34">
        <v>1950</v>
      </c>
      <c r="I22" s="34">
        <v>218</v>
      </c>
      <c r="J22" s="34">
        <v>218</v>
      </c>
      <c r="K22" s="36">
        <v>218</v>
      </c>
      <c r="L22" s="32" t="s">
        <v>361</v>
      </c>
      <c r="M22" s="32"/>
      <c r="N22" s="32" t="s">
        <v>359</v>
      </c>
      <c r="O22" s="33">
        <v>43889.895925925928</v>
      </c>
      <c r="P22" s="32" t="s">
        <v>358</v>
      </c>
      <c r="Q22" s="32" t="s">
        <v>357</v>
      </c>
      <c r="R22" s="32"/>
      <c r="S22" s="32">
        <f>Table_query__44[[#This Row],[Grant Received]]*0.95</f>
        <v>207.1</v>
      </c>
      <c r="T22" s="32"/>
      <c r="U22" s="32">
        <f>Table_query__44[[#This Row],[Grant Received]]*0.9</f>
        <v>196.20000000000002</v>
      </c>
      <c r="V22" s="32"/>
      <c r="W22" s="32">
        <f>Table_query__44[[#This Row],[Grant Received]]*0.8</f>
        <v>174.4</v>
      </c>
      <c r="X22" s="32"/>
    </row>
    <row r="23" spans="1:24">
      <c r="A23" s="31" t="str">
        <f>LEFT(Table_query__44[[#This Row],[Title]],(FIND(" ",Table_query__44[[#This Row],[Title]],1)-1))</f>
        <v>AEMU</v>
      </c>
      <c r="B23" s="32" t="s">
        <v>494</v>
      </c>
      <c r="C23" s="32" t="s">
        <v>284</v>
      </c>
      <c r="D23" s="34">
        <v>65</v>
      </c>
      <c r="E23" s="34">
        <v>10</v>
      </c>
      <c r="F23" s="32" t="s">
        <v>494</v>
      </c>
      <c r="G23" s="34">
        <v>13243.75</v>
      </c>
      <c r="H23" s="34">
        <v>11195</v>
      </c>
      <c r="I23" s="34">
        <v>1705</v>
      </c>
      <c r="J23" s="34">
        <v>1680</v>
      </c>
      <c r="K23" s="36">
        <v>1680</v>
      </c>
      <c r="L23" s="32" t="s">
        <v>361</v>
      </c>
      <c r="M23" s="32"/>
      <c r="N23" s="32" t="s">
        <v>359</v>
      </c>
      <c r="O23" s="33">
        <v>43896.750659722224</v>
      </c>
      <c r="P23" s="32" t="s">
        <v>358</v>
      </c>
      <c r="Q23" s="32" t="s">
        <v>357</v>
      </c>
      <c r="R23" s="32"/>
      <c r="S23" s="32">
        <f>Table_query__44[[#This Row],[Grant Received]]*0.95</f>
        <v>1596</v>
      </c>
      <c r="T23" s="32"/>
      <c r="U23" s="32">
        <f>Table_query__44[[#This Row],[Grant Received]]*0.9</f>
        <v>1512</v>
      </c>
      <c r="V23" s="32"/>
      <c r="W23" s="32">
        <f>Table_query__44[[#This Row],[Grant Received]]*0.8</f>
        <v>1344</v>
      </c>
      <c r="X23" s="32"/>
    </row>
    <row r="24" spans="1:24">
      <c r="A24" s="31" t="str">
        <f>LEFT(Table_query__44[[#This Row],[Title]],(FIND(" ",Table_query__44[[#This Row],[Title]],1)-1))</f>
        <v>AEMU</v>
      </c>
      <c r="B24" s="32" t="s">
        <v>494</v>
      </c>
      <c r="C24" s="32" t="s">
        <v>283</v>
      </c>
      <c r="D24" s="34">
        <v>26</v>
      </c>
      <c r="E24" s="34">
        <v>25</v>
      </c>
      <c r="F24" s="32" t="s">
        <v>494</v>
      </c>
      <c r="G24" s="34">
        <v>20900</v>
      </c>
      <c r="H24" s="34">
        <v>19592</v>
      </c>
      <c r="I24" s="34">
        <v>950</v>
      </c>
      <c r="J24" s="34">
        <v>950</v>
      </c>
      <c r="K24" s="36">
        <v>950</v>
      </c>
      <c r="L24" s="32" t="s">
        <v>361</v>
      </c>
      <c r="M24" s="32"/>
      <c r="N24" s="32" t="s">
        <v>359</v>
      </c>
      <c r="O24" s="33">
        <v>43889.909131944441</v>
      </c>
      <c r="P24" s="32" t="s">
        <v>358</v>
      </c>
      <c r="Q24" s="32" t="s">
        <v>357</v>
      </c>
      <c r="R24" s="32"/>
      <c r="S24" s="32">
        <f>Table_query__44[[#This Row],[Grant Received]]*0.95</f>
        <v>902.5</v>
      </c>
      <c r="T24" s="32"/>
      <c r="U24" s="32">
        <f>Table_query__44[[#This Row],[Grant Received]]*0.9</f>
        <v>855</v>
      </c>
      <c r="V24" s="32"/>
      <c r="W24" s="32">
        <f>Table_query__44[[#This Row],[Grant Received]]*0.8</f>
        <v>760</v>
      </c>
      <c r="X24" s="32"/>
    </row>
    <row r="25" spans="1:24">
      <c r="A25" s="31" t="str">
        <f>LEFT(Table_query__44[[#This Row],[Title]],(FIND(" ",Table_query__44[[#This Row],[Title]],1)-1))</f>
        <v>AEMU</v>
      </c>
      <c r="B25" s="32" t="s">
        <v>494</v>
      </c>
      <c r="C25" s="32" t="s">
        <v>282</v>
      </c>
      <c r="D25" s="34"/>
      <c r="E25" s="34"/>
      <c r="F25" s="32" t="s">
        <v>494</v>
      </c>
      <c r="G25" s="34">
        <v>461.25</v>
      </c>
      <c r="H25" s="34">
        <v>80</v>
      </c>
      <c r="I25" s="34">
        <v>400</v>
      </c>
      <c r="J25" s="34">
        <v>360</v>
      </c>
      <c r="K25" s="36">
        <v>180</v>
      </c>
      <c r="L25" s="32" t="s">
        <v>361</v>
      </c>
      <c r="M25" s="32"/>
      <c r="N25" s="32" t="s">
        <v>359</v>
      </c>
      <c r="O25" s="33">
        <v>43896.751064814816</v>
      </c>
      <c r="P25" s="32" t="s">
        <v>358</v>
      </c>
      <c r="Q25" s="32" t="s">
        <v>357</v>
      </c>
      <c r="R25" s="32"/>
      <c r="S25" s="32">
        <f>Table_query__44[[#This Row],[Grant Received]]*0.95</f>
        <v>171</v>
      </c>
      <c r="T25" s="32"/>
      <c r="U25" s="32">
        <f>Table_query__44[[#This Row],[Grant Received]]*0.9</f>
        <v>162</v>
      </c>
      <c r="V25" s="32"/>
      <c r="W25" s="32">
        <f>Table_query__44[[#This Row],[Grant Received]]*0.8</f>
        <v>144</v>
      </c>
      <c r="X25" s="32"/>
    </row>
    <row r="26" spans="1:24">
      <c r="A26" s="31" t="str">
        <f>LEFT(Table_query__44[[#This Row],[Title]],(FIND(" ",Table_query__44[[#This Row],[Title]],1)-1))</f>
        <v>AEMU</v>
      </c>
      <c r="B26" s="32" t="s">
        <v>494</v>
      </c>
      <c r="C26" s="32" t="s">
        <v>281</v>
      </c>
      <c r="D26" s="34">
        <v>90</v>
      </c>
      <c r="E26" s="34">
        <v>25</v>
      </c>
      <c r="F26" s="32" t="s">
        <v>494</v>
      </c>
      <c r="G26" s="34">
        <v>20643</v>
      </c>
      <c r="H26" s="34">
        <v>15553</v>
      </c>
      <c r="I26" s="34">
        <v>2950</v>
      </c>
      <c r="J26" s="34">
        <v>2950</v>
      </c>
      <c r="K26" s="36">
        <v>2950</v>
      </c>
      <c r="L26" s="32" t="s">
        <v>361</v>
      </c>
      <c r="M26" s="32"/>
      <c r="N26" s="32" t="s">
        <v>359</v>
      </c>
      <c r="O26" s="33">
        <v>43889.915960648148</v>
      </c>
      <c r="P26" s="32" t="s">
        <v>358</v>
      </c>
      <c r="Q26" s="32" t="s">
        <v>357</v>
      </c>
      <c r="R26" s="32"/>
      <c r="S26" s="32">
        <f>Table_query__44[[#This Row],[Grant Received]]*0.95</f>
        <v>2802.5</v>
      </c>
      <c r="T26" s="32"/>
      <c r="U26" s="32">
        <f>Table_query__44[[#This Row],[Grant Received]]*0.9</f>
        <v>2655</v>
      </c>
      <c r="V26" s="32"/>
      <c r="W26" s="32">
        <f>Table_query__44[[#This Row],[Grant Received]]*0.8</f>
        <v>2360</v>
      </c>
      <c r="X26" s="32"/>
    </row>
    <row r="27" spans="1:24">
      <c r="A27" s="31" t="str">
        <f>LEFT(Table_query__44[[#This Row],[Title]],(FIND(" ",Table_query__44[[#This Row],[Title]],1)-1))</f>
        <v>AEMU</v>
      </c>
      <c r="B27" s="32" t="s">
        <v>494</v>
      </c>
      <c r="C27" s="32" t="s">
        <v>280</v>
      </c>
      <c r="D27" s="34">
        <v>28</v>
      </c>
      <c r="E27" s="34">
        <v>6</v>
      </c>
      <c r="F27" s="32" t="s">
        <v>494</v>
      </c>
      <c r="G27" s="34">
        <v>1678</v>
      </c>
      <c r="H27" s="34">
        <v>730</v>
      </c>
      <c r="I27" s="34">
        <v>810</v>
      </c>
      <c r="J27" s="34">
        <v>810</v>
      </c>
      <c r="K27" s="36">
        <v>781.48500000000001</v>
      </c>
      <c r="L27" s="32" t="s">
        <v>361</v>
      </c>
      <c r="M27" s="32"/>
      <c r="N27" s="32" t="s">
        <v>359</v>
      </c>
      <c r="O27" s="33">
        <v>43901.524641203701</v>
      </c>
      <c r="P27" s="32" t="s">
        <v>358</v>
      </c>
      <c r="Q27" s="32" t="s">
        <v>357</v>
      </c>
      <c r="R27" s="32"/>
      <c r="S27" s="32">
        <f>Table_query__44[[#This Row],[Grant Received]]*0.95</f>
        <v>742.41075000000001</v>
      </c>
      <c r="T27" s="32"/>
      <c r="U27" s="32">
        <f>Table_query__44[[#This Row],[Grant Received]]*0.9</f>
        <v>703.3365</v>
      </c>
      <c r="V27" s="32"/>
      <c r="W27" s="32">
        <f>Table_query__44[[#This Row],[Grant Received]]*0.8</f>
        <v>625.1880000000001</v>
      </c>
      <c r="X27" s="32"/>
    </row>
    <row r="28" spans="1:24">
      <c r="A28" s="31" t="str">
        <f>LEFT(Table_query__44[[#This Row],[Title]],(FIND(" ",Table_query__44[[#This Row],[Title]],1)-1))</f>
        <v>AEMU</v>
      </c>
      <c r="B28" s="32" t="s">
        <v>494</v>
      </c>
      <c r="C28" s="32" t="s">
        <v>279</v>
      </c>
      <c r="D28" s="34">
        <v>32</v>
      </c>
      <c r="E28" s="34">
        <v>30</v>
      </c>
      <c r="F28" s="32" t="s">
        <v>494</v>
      </c>
      <c r="G28" s="34">
        <v>4507</v>
      </c>
      <c r="H28" s="34">
        <v>1900</v>
      </c>
      <c r="I28" s="34">
        <v>1532</v>
      </c>
      <c r="J28" s="34">
        <v>1532</v>
      </c>
      <c r="K28" s="36">
        <v>1441</v>
      </c>
      <c r="L28" s="32" t="s">
        <v>361</v>
      </c>
      <c r="M28" s="32"/>
      <c r="N28" s="32" t="s">
        <v>359</v>
      </c>
      <c r="O28" s="33">
        <v>43889.915439814817</v>
      </c>
      <c r="P28" s="32" t="s">
        <v>358</v>
      </c>
      <c r="Q28" s="32" t="s">
        <v>357</v>
      </c>
      <c r="R28" s="32"/>
      <c r="S28" s="32">
        <f>Table_query__44[[#This Row],[Grant Received]]*0.95</f>
        <v>1368.95</v>
      </c>
      <c r="T28" s="32"/>
      <c r="U28" s="32">
        <f>Table_query__44[[#This Row],[Grant Received]]*0.9</f>
        <v>1296.9000000000001</v>
      </c>
      <c r="V28" s="32"/>
      <c r="W28" s="32">
        <f>Table_query__44[[#This Row],[Grant Received]]*0.8</f>
        <v>1152.8</v>
      </c>
      <c r="X28" s="32"/>
    </row>
    <row r="29" spans="1:24">
      <c r="A29" s="31" t="str">
        <f>LEFT(Table_query__44[[#This Row],[Title]],(FIND(" ",Table_query__44[[#This Row],[Title]],1)-1))</f>
        <v>AEMU</v>
      </c>
      <c r="B29" s="32" t="s">
        <v>494</v>
      </c>
      <c r="C29" s="32" t="s">
        <v>278</v>
      </c>
      <c r="D29" s="34">
        <v>80</v>
      </c>
      <c r="E29" s="34">
        <v>30</v>
      </c>
      <c r="F29" s="32" t="s">
        <v>494</v>
      </c>
      <c r="G29" s="34">
        <v>33907</v>
      </c>
      <c r="H29" s="34">
        <v>28922.6</v>
      </c>
      <c r="I29" s="34">
        <v>2630</v>
      </c>
      <c r="J29" s="34">
        <v>2630</v>
      </c>
      <c r="K29" s="36">
        <v>2630</v>
      </c>
      <c r="L29" s="32" t="s">
        <v>361</v>
      </c>
      <c r="M29" s="32"/>
      <c r="N29" s="32" t="s">
        <v>359</v>
      </c>
      <c r="O29" s="33">
        <v>43889.916666666664</v>
      </c>
      <c r="P29" s="32" t="s">
        <v>358</v>
      </c>
      <c r="Q29" s="32" t="s">
        <v>357</v>
      </c>
      <c r="R29" s="32"/>
      <c r="S29" s="32">
        <f>Table_query__44[[#This Row],[Grant Received]]*0.95</f>
        <v>2498.5</v>
      </c>
      <c r="T29" s="32"/>
      <c r="U29" s="32">
        <f>Table_query__44[[#This Row],[Grant Received]]*0.9</f>
        <v>2367</v>
      </c>
      <c r="V29" s="32"/>
      <c r="W29" s="32">
        <f>Table_query__44[[#This Row],[Grant Received]]*0.8</f>
        <v>2104</v>
      </c>
      <c r="X29" s="32"/>
    </row>
    <row r="30" spans="1:24">
      <c r="A30" s="31" t="str">
        <f>LEFT(Table_query__44[[#This Row],[Title]],(FIND(" ",Table_query__44[[#This Row],[Title]],1)-1))</f>
        <v>AEMU</v>
      </c>
      <c r="B30" s="32" t="s">
        <v>494</v>
      </c>
      <c r="C30" s="32" t="s">
        <v>277</v>
      </c>
      <c r="D30" s="34">
        <v>70</v>
      </c>
      <c r="E30" s="34">
        <v>30</v>
      </c>
      <c r="F30" s="32" t="s">
        <v>494</v>
      </c>
      <c r="G30" s="34">
        <v>30045</v>
      </c>
      <c r="H30" s="34">
        <v>25355</v>
      </c>
      <c r="I30" s="34">
        <v>3150</v>
      </c>
      <c r="J30" s="34">
        <v>3150</v>
      </c>
      <c r="K30" s="36">
        <v>3061.17</v>
      </c>
      <c r="L30" s="32" t="s">
        <v>361</v>
      </c>
      <c r="M30" s="32"/>
      <c r="N30" s="32" t="s">
        <v>359</v>
      </c>
      <c r="O30" s="33">
        <v>43901.524976851855</v>
      </c>
      <c r="P30" s="32" t="s">
        <v>358</v>
      </c>
      <c r="Q30" s="32" t="s">
        <v>357</v>
      </c>
      <c r="R30" s="32"/>
      <c r="S30" s="32">
        <f>Table_query__44[[#This Row],[Grant Received]]*0.95</f>
        <v>2908.1115</v>
      </c>
      <c r="T30" s="32"/>
      <c r="U30" s="32">
        <f>Table_query__44[[#This Row],[Grant Received]]*0.9</f>
        <v>2755.0530000000003</v>
      </c>
      <c r="V30" s="32"/>
      <c r="W30" s="32">
        <f>Table_query__44[[#This Row],[Grant Received]]*0.8</f>
        <v>2448.9360000000001</v>
      </c>
      <c r="X30" s="32"/>
    </row>
    <row r="31" spans="1:24">
      <c r="A31" s="31" t="str">
        <f>LEFT(Table_query__44[[#This Row],[Title]],(FIND(" ",Table_query__44[[#This Row],[Title]],1)-1))</f>
        <v>AEMU</v>
      </c>
      <c r="B31" s="32" t="s">
        <v>494</v>
      </c>
      <c r="C31" s="32" t="s">
        <v>276</v>
      </c>
      <c r="D31" s="34">
        <v>23</v>
      </c>
      <c r="E31" s="34">
        <v>23</v>
      </c>
      <c r="F31" s="32" t="s">
        <v>494</v>
      </c>
      <c r="G31" s="34">
        <v>6665</v>
      </c>
      <c r="H31" s="34">
        <v>3717.5</v>
      </c>
      <c r="I31" s="34">
        <v>2215</v>
      </c>
      <c r="J31" s="34">
        <v>2215</v>
      </c>
      <c r="K31" s="36">
        <v>2059.2855</v>
      </c>
      <c r="L31" s="32" t="s">
        <v>361</v>
      </c>
      <c r="M31" s="32"/>
      <c r="N31" s="32" t="s">
        <v>359</v>
      </c>
      <c r="O31" s="33">
        <v>43901.525208333333</v>
      </c>
      <c r="P31" s="32" t="s">
        <v>358</v>
      </c>
      <c r="Q31" s="32" t="s">
        <v>357</v>
      </c>
      <c r="R31" s="32"/>
      <c r="S31" s="32">
        <f>Table_query__44[[#This Row],[Grant Received]]*0.95</f>
        <v>1956.3212249999999</v>
      </c>
      <c r="T31" s="32"/>
      <c r="U31" s="32">
        <f>Table_query__44[[#This Row],[Grant Received]]*0.9</f>
        <v>1853.3569500000001</v>
      </c>
      <c r="V31" s="32"/>
      <c r="W31" s="32">
        <f>Table_query__44[[#This Row],[Grant Received]]*0.8</f>
        <v>1647.4284</v>
      </c>
      <c r="X31" s="32"/>
    </row>
    <row r="32" spans="1:24">
      <c r="A32" s="31" t="str">
        <f>LEFT(Table_query__44[[#This Row],[Title]],(FIND(" ",Table_query__44[[#This Row],[Title]],1)-1))</f>
        <v>AEMU</v>
      </c>
      <c r="B32" s="32" t="s">
        <v>494</v>
      </c>
      <c r="C32" s="32" t="s">
        <v>275</v>
      </c>
      <c r="D32" s="34">
        <v>44</v>
      </c>
      <c r="E32" s="34">
        <v>10</v>
      </c>
      <c r="F32" s="32" t="s">
        <v>494</v>
      </c>
      <c r="G32" s="34">
        <v>3119</v>
      </c>
      <c r="H32" s="34">
        <v>1675</v>
      </c>
      <c r="I32" s="34">
        <v>1075</v>
      </c>
      <c r="J32" s="34">
        <v>1075</v>
      </c>
      <c r="K32" s="36">
        <v>924.73919999999998</v>
      </c>
      <c r="L32" s="32" t="s">
        <v>361</v>
      </c>
      <c r="M32" s="32"/>
      <c r="N32" s="32" t="s">
        <v>359</v>
      </c>
      <c r="O32" s="33">
        <v>43901.526504629626</v>
      </c>
      <c r="P32" s="32" t="s">
        <v>358</v>
      </c>
      <c r="Q32" s="32" t="s">
        <v>357</v>
      </c>
      <c r="R32" s="32"/>
      <c r="S32" s="32">
        <f>Table_query__44[[#This Row],[Grant Received]]*0.95</f>
        <v>878.50223999999992</v>
      </c>
      <c r="T32" s="32"/>
      <c r="U32" s="32">
        <f>Table_query__44[[#This Row],[Grant Received]]*0.9</f>
        <v>832.26527999999996</v>
      </c>
      <c r="V32" s="32"/>
      <c r="W32" s="32">
        <f>Table_query__44[[#This Row],[Grant Received]]*0.8</f>
        <v>739.79136000000005</v>
      </c>
      <c r="X32" s="32"/>
    </row>
    <row r="33" spans="1:24">
      <c r="A33" s="31" t="str">
        <f>LEFT(Table_query__44[[#This Row],[Title]],(FIND(" ",Table_query__44[[#This Row],[Title]],1)-1))</f>
        <v>CF</v>
      </c>
      <c r="B33" s="32" t="s">
        <v>492</v>
      </c>
      <c r="C33" s="32" t="s">
        <v>493</v>
      </c>
      <c r="D33" s="34"/>
      <c r="E33" s="34"/>
      <c r="F33" s="32" t="s">
        <v>492</v>
      </c>
      <c r="G33" s="34"/>
      <c r="H33" s="34"/>
      <c r="I33" s="34"/>
      <c r="J33" s="34"/>
      <c r="K33" s="36"/>
      <c r="L33" s="32" t="s">
        <v>361</v>
      </c>
      <c r="M33" s="32"/>
      <c r="N33" s="32" t="s">
        <v>359</v>
      </c>
      <c r="O33" s="33">
        <v>43896.792592592596</v>
      </c>
      <c r="P33" s="32" t="s">
        <v>358</v>
      </c>
      <c r="Q33" s="32" t="s">
        <v>357</v>
      </c>
      <c r="R33" s="32"/>
      <c r="S33" s="32">
        <f>Table_query__44[[#This Row],[Grant Received]]*0.95</f>
        <v>0</v>
      </c>
      <c r="T33" s="32"/>
      <c r="U33" s="32">
        <f>Table_query__44[[#This Row],[Grant Received]]*0.9</f>
        <v>0</v>
      </c>
      <c r="V33" s="32"/>
      <c r="W33" s="32">
        <f>Table_query__44[[#This Row],[Grant Received]]*0.8</f>
        <v>0</v>
      </c>
      <c r="X33" s="32"/>
    </row>
    <row r="34" spans="1:24">
      <c r="A34" s="31" t="str">
        <f>LEFT(Table_query__44[[#This Row],[Title]],(FIND(" ",Table_query__44[[#This Row],[Title]],1)-1))</f>
        <v>CFC</v>
      </c>
      <c r="B34" s="32" t="s">
        <v>482</v>
      </c>
      <c r="C34" s="32" t="s">
        <v>491</v>
      </c>
      <c r="D34" s="34"/>
      <c r="E34" s="34"/>
      <c r="F34" s="32" t="s">
        <v>482</v>
      </c>
      <c r="G34" s="34"/>
      <c r="H34" s="34"/>
      <c r="I34" s="34"/>
      <c r="J34" s="34"/>
      <c r="K34" s="36"/>
      <c r="L34" s="32" t="s">
        <v>361</v>
      </c>
      <c r="M34" s="32"/>
      <c r="N34" s="32" t="s">
        <v>359</v>
      </c>
      <c r="O34" s="33">
        <v>43890.363657407404</v>
      </c>
      <c r="P34" s="32" t="s">
        <v>358</v>
      </c>
      <c r="Q34" s="32" t="s">
        <v>357</v>
      </c>
      <c r="R34" s="32"/>
      <c r="S34" s="32">
        <f>Table_query__44[[#This Row],[Grant Received]]*0.95</f>
        <v>0</v>
      </c>
      <c r="T34" s="32"/>
      <c r="U34" s="32">
        <f>Table_query__44[[#This Row],[Grant Received]]*0.9</f>
        <v>0</v>
      </c>
      <c r="V34" s="32"/>
      <c r="W34" s="32">
        <f>Table_query__44[[#This Row],[Grant Received]]*0.8</f>
        <v>0</v>
      </c>
      <c r="X34" s="32"/>
    </row>
    <row r="35" spans="1:24">
      <c r="A35" s="31" t="str">
        <f>LEFT(Table_query__44[[#This Row],[Title]],(FIND(" ",Table_query__44[[#This Row],[Title]],1)-1))</f>
        <v>CFC</v>
      </c>
      <c r="B35" s="32" t="s">
        <v>482</v>
      </c>
      <c r="C35" s="32" t="s">
        <v>505</v>
      </c>
      <c r="D35" s="34">
        <v>100</v>
      </c>
      <c r="E35" s="34">
        <v>10</v>
      </c>
      <c r="F35" s="32" t="s">
        <v>482</v>
      </c>
      <c r="G35" s="34">
        <v>4300</v>
      </c>
      <c r="H35" s="34">
        <v>4210</v>
      </c>
      <c r="I35" s="34">
        <v>90</v>
      </c>
      <c r="J35" s="34">
        <v>0</v>
      </c>
      <c r="K35" s="36">
        <v>0</v>
      </c>
      <c r="L35" s="32" t="s">
        <v>361</v>
      </c>
      <c r="M35" s="32"/>
      <c r="N35" s="32" t="s">
        <v>359</v>
      </c>
      <c r="O35" s="33">
        <v>43890.360891203702</v>
      </c>
      <c r="P35" s="32" t="s">
        <v>358</v>
      </c>
      <c r="Q35" s="32" t="s">
        <v>357</v>
      </c>
      <c r="R35" s="32"/>
      <c r="S35" s="32">
        <f>Table_query__44[[#This Row],[Grant Received]]*0.95</f>
        <v>0</v>
      </c>
      <c r="T35" s="32"/>
      <c r="U35" s="32">
        <f>Table_query__44[[#This Row],[Grant Received]]*0.9</f>
        <v>0</v>
      </c>
      <c r="V35" s="32"/>
      <c r="W35" s="32">
        <f>Table_query__44[[#This Row],[Grant Received]]*0.8</f>
        <v>0</v>
      </c>
      <c r="X35" s="32"/>
    </row>
    <row r="36" spans="1:24">
      <c r="A36" s="31" t="str">
        <f>LEFT(Table_query__44[[#This Row],[Title]],(FIND(" ",Table_query__44[[#This Row],[Title]],1)-1))</f>
        <v>CFC</v>
      </c>
      <c r="B36" s="32" t="s">
        <v>482</v>
      </c>
      <c r="C36" s="32" t="s">
        <v>490</v>
      </c>
      <c r="D36" s="34"/>
      <c r="E36" s="34"/>
      <c r="F36" s="32" t="s">
        <v>482</v>
      </c>
      <c r="G36" s="34"/>
      <c r="H36" s="34"/>
      <c r="I36" s="34"/>
      <c r="J36" s="34"/>
      <c r="K36" s="36"/>
      <c r="L36" s="32" t="s">
        <v>361</v>
      </c>
      <c r="M36" s="32"/>
      <c r="N36" s="32" t="s">
        <v>359</v>
      </c>
      <c r="O36" s="33">
        <v>43890.364942129629</v>
      </c>
      <c r="P36" s="32" t="s">
        <v>358</v>
      </c>
      <c r="Q36" s="32" t="s">
        <v>357</v>
      </c>
      <c r="R36" s="32"/>
      <c r="S36" s="32">
        <f>Table_query__44[[#This Row],[Grant Received]]*0.95</f>
        <v>0</v>
      </c>
      <c r="T36" s="32"/>
      <c r="U36" s="32">
        <f>Table_query__44[[#This Row],[Grant Received]]*0.9</f>
        <v>0</v>
      </c>
      <c r="V36" s="32"/>
      <c r="W36" s="32">
        <f>Table_query__44[[#This Row],[Grant Received]]*0.8</f>
        <v>0</v>
      </c>
      <c r="X36" s="32"/>
    </row>
    <row r="37" spans="1:24">
      <c r="A37" s="31" t="str">
        <f>LEFT(Table_query__44[[#This Row],[Title]],(FIND(" ",Table_query__44[[#This Row],[Title]],1)-1))</f>
        <v>CFC</v>
      </c>
      <c r="B37" s="32" t="s">
        <v>482</v>
      </c>
      <c r="C37" s="32" t="s">
        <v>489</v>
      </c>
      <c r="D37" s="34"/>
      <c r="E37" s="34"/>
      <c r="F37" s="32" t="s">
        <v>482</v>
      </c>
      <c r="G37" s="34"/>
      <c r="H37" s="34"/>
      <c r="I37" s="34"/>
      <c r="J37" s="34"/>
      <c r="K37" s="36"/>
      <c r="L37" s="32" t="s">
        <v>361</v>
      </c>
      <c r="M37" s="32"/>
      <c r="N37" s="32" t="s">
        <v>359</v>
      </c>
      <c r="O37" s="33">
        <v>43890.365034722221</v>
      </c>
      <c r="P37" s="32" t="s">
        <v>358</v>
      </c>
      <c r="Q37" s="32" t="s">
        <v>357</v>
      </c>
      <c r="R37" s="32"/>
      <c r="S37" s="32">
        <f>Table_query__44[[#This Row],[Grant Received]]*0.95</f>
        <v>0</v>
      </c>
      <c r="T37" s="32"/>
      <c r="U37" s="32">
        <f>Table_query__44[[#This Row],[Grant Received]]*0.9</f>
        <v>0</v>
      </c>
      <c r="V37" s="32"/>
      <c r="W37" s="32">
        <f>Table_query__44[[#This Row],[Grant Received]]*0.8</f>
        <v>0</v>
      </c>
      <c r="X37" s="32"/>
    </row>
    <row r="38" spans="1:24">
      <c r="A38" s="31" t="str">
        <f>LEFT(Table_query__44[[#This Row],[Title]],(FIND(" ",Table_query__44[[#This Row],[Title]],1)-1))</f>
        <v>CFC</v>
      </c>
      <c r="B38" s="32" t="s">
        <v>482</v>
      </c>
      <c r="C38" s="32" t="s">
        <v>488</v>
      </c>
      <c r="D38" s="34">
        <v>110</v>
      </c>
      <c r="E38" s="34">
        <v>5</v>
      </c>
      <c r="F38" s="32" t="s">
        <v>482</v>
      </c>
      <c r="G38" s="34">
        <v>1785</v>
      </c>
      <c r="H38" s="34">
        <v>1360</v>
      </c>
      <c r="I38" s="34">
        <v>565</v>
      </c>
      <c r="J38" s="34">
        <v>105</v>
      </c>
      <c r="K38" s="36">
        <v>105</v>
      </c>
      <c r="L38" s="32" t="s">
        <v>361</v>
      </c>
      <c r="M38" s="32"/>
      <c r="N38" s="32" t="s">
        <v>359</v>
      </c>
      <c r="O38" s="33">
        <v>43901.530671296299</v>
      </c>
      <c r="P38" s="32" t="s">
        <v>358</v>
      </c>
      <c r="Q38" s="32" t="s">
        <v>357</v>
      </c>
      <c r="R38" s="32"/>
      <c r="S38" s="32">
        <f>Table_query__44[[#This Row],[Grant Received]]*0.95</f>
        <v>99.75</v>
      </c>
      <c r="T38" s="32"/>
      <c r="U38" s="32">
        <f>Table_query__44[[#This Row],[Grant Received]]*0.9</f>
        <v>94.5</v>
      </c>
      <c r="V38" s="32"/>
      <c r="W38" s="32">
        <f>Table_query__44[[#This Row],[Grant Received]]*0.8</f>
        <v>84</v>
      </c>
      <c r="X38" s="32"/>
    </row>
    <row r="39" spans="1:24">
      <c r="A39" s="31" t="str">
        <f>LEFT(Table_query__44[[#This Row],[Title]],(FIND(" ",Table_query__44[[#This Row],[Title]],1)-1))</f>
        <v>CFC</v>
      </c>
      <c r="B39" s="32" t="s">
        <v>482</v>
      </c>
      <c r="C39" s="32" t="s">
        <v>487</v>
      </c>
      <c r="D39" s="34"/>
      <c r="E39" s="34"/>
      <c r="F39" s="32" t="s">
        <v>482</v>
      </c>
      <c r="G39" s="34"/>
      <c r="H39" s="34"/>
      <c r="I39" s="34"/>
      <c r="J39" s="34"/>
      <c r="K39" s="36"/>
      <c r="L39" s="32" t="s">
        <v>361</v>
      </c>
      <c r="M39" s="32"/>
      <c r="N39" s="32" t="s">
        <v>359</v>
      </c>
      <c r="O39" s="33">
        <v>43890.366909722223</v>
      </c>
      <c r="P39" s="32" t="s">
        <v>358</v>
      </c>
      <c r="Q39" s="32" t="s">
        <v>357</v>
      </c>
      <c r="R39" s="32"/>
      <c r="S39" s="32">
        <f>Table_query__44[[#This Row],[Grant Received]]*0.95</f>
        <v>0</v>
      </c>
      <c r="T39" s="32"/>
      <c r="U39" s="32">
        <f>Table_query__44[[#This Row],[Grant Received]]*0.9</f>
        <v>0</v>
      </c>
      <c r="V39" s="32"/>
      <c r="W39" s="32">
        <f>Table_query__44[[#This Row],[Grant Received]]*0.8</f>
        <v>0</v>
      </c>
      <c r="X39" s="32"/>
    </row>
    <row r="40" spans="1:24">
      <c r="A40" s="31" t="str">
        <f>LEFT(Table_query__44[[#This Row],[Title]],(FIND(" ",Table_query__44[[#This Row],[Title]],1)-1))</f>
        <v>CFC</v>
      </c>
      <c r="B40" s="32" t="s">
        <v>482</v>
      </c>
      <c r="C40" s="32" t="s">
        <v>486</v>
      </c>
      <c r="D40" s="34">
        <v>100</v>
      </c>
      <c r="E40" s="34">
        <v>0</v>
      </c>
      <c r="F40" s="32" t="s">
        <v>482</v>
      </c>
      <c r="G40" s="34">
        <v>880</v>
      </c>
      <c r="H40" s="34">
        <v>200</v>
      </c>
      <c r="I40" s="34">
        <v>440</v>
      </c>
      <c r="J40" s="34">
        <v>200</v>
      </c>
      <c r="K40" s="36">
        <v>49.325000000000003</v>
      </c>
      <c r="L40" s="32" t="s">
        <v>361</v>
      </c>
      <c r="M40" s="32"/>
      <c r="N40" s="32" t="s">
        <v>359</v>
      </c>
      <c r="O40" s="33">
        <v>43901.529502314814</v>
      </c>
      <c r="P40" s="32" t="s">
        <v>358</v>
      </c>
      <c r="Q40" s="32" t="s">
        <v>357</v>
      </c>
      <c r="R40" s="32"/>
      <c r="S40" s="32">
        <f>Table_query__44[[#This Row],[Grant Received]]*0.95</f>
        <v>46.858750000000001</v>
      </c>
      <c r="T40" s="32"/>
      <c r="U40" s="32">
        <f>Table_query__44[[#This Row],[Grant Received]]*0.9</f>
        <v>44.392500000000005</v>
      </c>
      <c r="V40" s="32"/>
      <c r="W40" s="32">
        <f>Table_query__44[[#This Row],[Grant Received]]*0.8</f>
        <v>39.460000000000008</v>
      </c>
      <c r="X40" s="32"/>
    </row>
    <row r="41" spans="1:24">
      <c r="A41" s="31" t="str">
        <f>LEFT(Table_query__44[[#This Row],[Title]],(FIND(" ",Table_query__44[[#This Row],[Title]],1)-1))</f>
        <v>CFC</v>
      </c>
      <c r="B41" s="32" t="s">
        <v>482</v>
      </c>
      <c r="C41" s="32" t="s">
        <v>485</v>
      </c>
      <c r="D41" s="34"/>
      <c r="E41" s="34"/>
      <c r="F41" s="32" t="s">
        <v>482</v>
      </c>
      <c r="G41" s="34"/>
      <c r="H41" s="34"/>
      <c r="I41" s="34"/>
      <c r="J41" s="34"/>
      <c r="K41" s="36"/>
      <c r="L41" s="32" t="s">
        <v>361</v>
      </c>
      <c r="M41" s="32"/>
      <c r="N41" s="32" t="s">
        <v>359</v>
      </c>
      <c r="O41" s="33">
        <v>43890.368356481478</v>
      </c>
      <c r="P41" s="32" t="s">
        <v>358</v>
      </c>
      <c r="Q41" s="32" t="s">
        <v>357</v>
      </c>
      <c r="R41" s="32"/>
      <c r="S41" s="32">
        <f>Table_query__44[[#This Row],[Grant Received]]*0.95</f>
        <v>0</v>
      </c>
      <c r="T41" s="32"/>
      <c r="U41" s="32">
        <f>Table_query__44[[#This Row],[Grant Received]]*0.9</f>
        <v>0</v>
      </c>
      <c r="V41" s="32"/>
      <c r="W41" s="32">
        <f>Table_query__44[[#This Row],[Grant Received]]*0.8</f>
        <v>0</v>
      </c>
      <c r="X41" s="32"/>
    </row>
    <row r="42" spans="1:24">
      <c r="A42" s="31" t="str">
        <f>LEFT(Table_query__44[[#This Row],[Title]],(FIND(" ",Table_query__44[[#This Row],[Title]],1)-1))</f>
        <v>CFC</v>
      </c>
      <c r="B42" s="32" t="s">
        <v>482</v>
      </c>
      <c r="C42" s="32" t="s">
        <v>484</v>
      </c>
      <c r="D42" s="34"/>
      <c r="E42" s="34"/>
      <c r="F42" s="32" t="s">
        <v>482</v>
      </c>
      <c r="G42" s="34"/>
      <c r="H42" s="34"/>
      <c r="I42" s="34"/>
      <c r="J42" s="34"/>
      <c r="K42" s="36"/>
      <c r="L42" s="32" t="s">
        <v>361</v>
      </c>
      <c r="M42" s="32"/>
      <c r="N42" s="32" t="s">
        <v>359</v>
      </c>
      <c r="O42" s="33">
        <v>43890.368437500001</v>
      </c>
      <c r="P42" s="32" t="s">
        <v>358</v>
      </c>
      <c r="Q42" s="32" t="s">
        <v>357</v>
      </c>
      <c r="R42" s="32"/>
      <c r="S42" s="32">
        <f>Table_query__44[[#This Row],[Grant Received]]*0.95</f>
        <v>0</v>
      </c>
      <c r="T42" s="32"/>
      <c r="U42" s="32">
        <f>Table_query__44[[#This Row],[Grant Received]]*0.9</f>
        <v>0</v>
      </c>
      <c r="V42" s="32"/>
      <c r="W42" s="32">
        <f>Table_query__44[[#This Row],[Grant Received]]*0.8</f>
        <v>0</v>
      </c>
      <c r="X42" s="32"/>
    </row>
    <row r="43" spans="1:24">
      <c r="A43" s="31" t="str">
        <f>LEFT(Table_query__44[[#This Row],[Title]],(FIND(" ",Table_query__44[[#This Row],[Title]],1)-1))</f>
        <v>CFC</v>
      </c>
      <c r="B43" s="32" t="s">
        <v>482</v>
      </c>
      <c r="C43" s="32" t="s">
        <v>483</v>
      </c>
      <c r="D43" s="34"/>
      <c r="E43" s="34"/>
      <c r="F43" s="32" t="s">
        <v>482</v>
      </c>
      <c r="G43" s="34"/>
      <c r="H43" s="34"/>
      <c r="I43" s="34"/>
      <c r="J43" s="34"/>
      <c r="K43" s="36"/>
      <c r="L43" s="32" t="s">
        <v>361</v>
      </c>
      <c r="M43" s="32"/>
      <c r="N43" s="32" t="s">
        <v>359</v>
      </c>
      <c r="O43" s="33">
        <v>43890.368668981479</v>
      </c>
      <c r="P43" s="32" t="s">
        <v>358</v>
      </c>
      <c r="Q43" s="32" t="s">
        <v>357</v>
      </c>
      <c r="R43" s="32"/>
      <c r="S43" s="32">
        <f>Table_query__44[[#This Row],[Grant Received]]*0.95</f>
        <v>0</v>
      </c>
      <c r="T43" s="32"/>
      <c r="U43" s="32">
        <f>Table_query__44[[#This Row],[Grant Received]]*0.9</f>
        <v>0</v>
      </c>
      <c r="V43" s="32"/>
      <c r="W43" s="32">
        <f>Table_query__44[[#This Row],[Grant Received]]*0.8</f>
        <v>0</v>
      </c>
      <c r="X43" s="32"/>
    </row>
    <row r="44" spans="1:24">
      <c r="A44" s="31" t="str">
        <f>LEFT(Table_query__44[[#This Row],[Title]],(FIND(" ",Table_query__44[[#This Row],[Title]],1)-1))</f>
        <v>CFF</v>
      </c>
      <c r="B44" s="32" t="s">
        <v>474</v>
      </c>
      <c r="C44" s="32" t="s">
        <v>265</v>
      </c>
      <c r="D44" s="34"/>
      <c r="E44" s="34"/>
      <c r="F44" s="32" t="s">
        <v>474</v>
      </c>
      <c r="G44" s="34"/>
      <c r="H44" s="34"/>
      <c r="I44" s="34"/>
      <c r="J44" s="34"/>
      <c r="K44" s="36"/>
      <c r="L44" s="32" t="s">
        <v>361</v>
      </c>
      <c r="M44" s="32"/>
      <c r="N44" s="32" t="s">
        <v>359</v>
      </c>
      <c r="O44" s="33">
        <v>43890.449062500003</v>
      </c>
      <c r="P44" s="32" t="s">
        <v>358</v>
      </c>
      <c r="Q44" s="32" t="s">
        <v>357</v>
      </c>
      <c r="R44" s="32"/>
      <c r="S44" s="32">
        <f>Table_query__44[[#This Row],[Grant Received]]*0.95</f>
        <v>0</v>
      </c>
      <c r="T44" s="32"/>
      <c r="U44" s="32">
        <f>Table_query__44[[#This Row],[Grant Received]]*0.9</f>
        <v>0</v>
      </c>
      <c r="V44" s="32"/>
      <c r="W44" s="32">
        <f>Table_query__44[[#This Row],[Grant Received]]*0.8</f>
        <v>0</v>
      </c>
      <c r="X44" s="32"/>
    </row>
    <row r="45" spans="1:24">
      <c r="A45" s="31" t="str">
        <f>LEFT(Table_query__44[[#This Row],[Title]],(FIND(" ",Table_query__44[[#This Row],[Title]],1)-1))</f>
        <v>CFF</v>
      </c>
      <c r="B45" s="32" t="s">
        <v>474</v>
      </c>
      <c r="C45" s="32" t="s">
        <v>481</v>
      </c>
      <c r="D45" s="34"/>
      <c r="E45" s="34"/>
      <c r="F45" s="32" t="s">
        <v>474</v>
      </c>
      <c r="G45" s="34"/>
      <c r="H45" s="34"/>
      <c r="I45" s="34"/>
      <c r="J45" s="34"/>
      <c r="K45" s="36"/>
      <c r="L45" s="32" t="s">
        <v>361</v>
      </c>
      <c r="M45" s="32"/>
      <c r="N45" s="32" t="s">
        <v>359</v>
      </c>
      <c r="O45" s="33">
        <v>43890.449189814812</v>
      </c>
      <c r="P45" s="32" t="s">
        <v>358</v>
      </c>
      <c r="Q45" s="32" t="s">
        <v>357</v>
      </c>
      <c r="R45" s="32"/>
      <c r="S45" s="32">
        <f>Table_query__44[[#This Row],[Grant Received]]*0.95</f>
        <v>0</v>
      </c>
      <c r="T45" s="32"/>
      <c r="U45" s="32">
        <f>Table_query__44[[#This Row],[Grant Received]]*0.9</f>
        <v>0</v>
      </c>
      <c r="V45" s="32"/>
      <c r="W45" s="32">
        <f>Table_query__44[[#This Row],[Grant Received]]*0.8</f>
        <v>0</v>
      </c>
      <c r="X45" s="32"/>
    </row>
    <row r="46" spans="1:24">
      <c r="A46" s="31" t="str">
        <f>LEFT(Table_query__44[[#This Row],[Title]],(FIND(" ",Table_query__44[[#This Row],[Title]],1)-1))</f>
        <v>CFF</v>
      </c>
      <c r="B46" s="32" t="s">
        <v>474</v>
      </c>
      <c r="C46" s="32" t="s">
        <v>263</v>
      </c>
      <c r="D46" s="34"/>
      <c r="E46" s="34"/>
      <c r="F46" s="32" t="s">
        <v>474</v>
      </c>
      <c r="G46" s="34"/>
      <c r="H46" s="34"/>
      <c r="I46" s="34"/>
      <c r="J46" s="34"/>
      <c r="K46" s="36"/>
      <c r="L46" s="32" t="s">
        <v>361</v>
      </c>
      <c r="M46" s="32"/>
      <c r="N46" s="32" t="s">
        <v>359</v>
      </c>
      <c r="O46" s="33">
        <v>43890.449317129627</v>
      </c>
      <c r="P46" s="32" t="s">
        <v>358</v>
      </c>
      <c r="Q46" s="32" t="s">
        <v>357</v>
      </c>
      <c r="R46" s="32"/>
      <c r="S46" s="32">
        <f>Table_query__44[[#This Row],[Grant Received]]*0.95</f>
        <v>0</v>
      </c>
      <c r="T46" s="32"/>
      <c r="U46" s="32">
        <f>Table_query__44[[#This Row],[Grant Received]]*0.9</f>
        <v>0</v>
      </c>
      <c r="V46" s="32"/>
      <c r="W46" s="32">
        <f>Table_query__44[[#This Row],[Grant Received]]*0.8</f>
        <v>0</v>
      </c>
      <c r="X46" s="32"/>
    </row>
    <row r="47" spans="1:24">
      <c r="A47" s="31" t="str">
        <f>LEFT(Table_query__44[[#This Row],[Title]],(FIND(" ",Table_query__44[[#This Row],[Title]],1)-1))</f>
        <v>CFF</v>
      </c>
      <c r="B47" s="32" t="s">
        <v>474</v>
      </c>
      <c r="C47" s="32" t="s">
        <v>262</v>
      </c>
      <c r="D47" s="34"/>
      <c r="E47" s="34"/>
      <c r="F47" s="32" t="s">
        <v>474</v>
      </c>
      <c r="G47" s="34"/>
      <c r="H47" s="34"/>
      <c r="I47" s="34"/>
      <c r="J47" s="34"/>
      <c r="K47" s="36"/>
      <c r="L47" s="32" t="s">
        <v>361</v>
      </c>
      <c r="M47" s="32"/>
      <c r="N47" s="32" t="s">
        <v>359</v>
      </c>
      <c r="O47" s="33">
        <v>43890.449502314812</v>
      </c>
      <c r="P47" s="32" t="s">
        <v>358</v>
      </c>
      <c r="Q47" s="32" t="s">
        <v>357</v>
      </c>
      <c r="R47" s="32"/>
      <c r="S47" s="32">
        <f>Table_query__44[[#This Row],[Grant Received]]*0.95</f>
        <v>0</v>
      </c>
      <c r="T47" s="32"/>
      <c r="U47" s="32">
        <f>Table_query__44[[#This Row],[Grant Received]]*0.9</f>
        <v>0</v>
      </c>
      <c r="V47" s="32"/>
      <c r="W47" s="32">
        <f>Table_query__44[[#This Row],[Grant Received]]*0.8</f>
        <v>0</v>
      </c>
      <c r="X47" s="32"/>
    </row>
    <row r="48" spans="1:24">
      <c r="A48" s="31" t="str">
        <f>LEFT(Table_query__44[[#This Row],[Title]],(FIND(" ",Table_query__44[[#This Row],[Title]],1)-1))</f>
        <v>CFF</v>
      </c>
      <c r="B48" s="32" t="s">
        <v>474</v>
      </c>
      <c r="C48" s="32" t="s">
        <v>261</v>
      </c>
      <c r="D48" s="34"/>
      <c r="E48" s="34"/>
      <c r="F48" s="32" t="s">
        <v>474</v>
      </c>
      <c r="G48" s="34"/>
      <c r="H48" s="34"/>
      <c r="I48" s="34"/>
      <c r="J48" s="34"/>
      <c r="K48" s="36"/>
      <c r="L48" s="32" t="s">
        <v>361</v>
      </c>
      <c r="M48" s="32"/>
      <c r="N48" s="32" t="s">
        <v>359</v>
      </c>
      <c r="O48" s="33">
        <v>43890.449629629627</v>
      </c>
      <c r="P48" s="32" t="s">
        <v>358</v>
      </c>
      <c r="Q48" s="32" t="s">
        <v>357</v>
      </c>
      <c r="R48" s="32"/>
      <c r="S48" s="32">
        <f>Table_query__44[[#This Row],[Grant Received]]*0.95</f>
        <v>0</v>
      </c>
      <c r="T48" s="32"/>
      <c r="U48" s="32">
        <f>Table_query__44[[#This Row],[Grant Received]]*0.9</f>
        <v>0</v>
      </c>
      <c r="V48" s="32"/>
      <c r="W48" s="32">
        <f>Table_query__44[[#This Row],[Grant Received]]*0.8</f>
        <v>0</v>
      </c>
      <c r="X48" s="32"/>
    </row>
    <row r="49" spans="1:24">
      <c r="A49" s="31" t="str">
        <f>LEFT(Table_query__44[[#This Row],[Title]],(FIND(" ",Table_query__44[[#This Row],[Title]],1)-1))</f>
        <v>CFF</v>
      </c>
      <c r="B49" s="32" t="s">
        <v>474</v>
      </c>
      <c r="C49" s="32" t="s">
        <v>480</v>
      </c>
      <c r="D49" s="34"/>
      <c r="E49" s="34"/>
      <c r="F49" s="32" t="s">
        <v>474</v>
      </c>
      <c r="G49" s="34"/>
      <c r="H49" s="34"/>
      <c r="I49" s="34"/>
      <c r="J49" s="34"/>
      <c r="K49" s="36"/>
      <c r="L49" s="32" t="s">
        <v>361</v>
      </c>
      <c r="M49" s="32"/>
      <c r="N49" s="32" t="s">
        <v>359</v>
      </c>
      <c r="O49" s="33">
        <v>43890.449745370373</v>
      </c>
      <c r="P49" s="32" t="s">
        <v>358</v>
      </c>
      <c r="Q49" s="32" t="s">
        <v>357</v>
      </c>
      <c r="R49" s="32"/>
      <c r="S49" s="32">
        <f>Table_query__44[[#This Row],[Grant Received]]*0.95</f>
        <v>0</v>
      </c>
      <c r="T49" s="32"/>
      <c r="U49" s="32">
        <f>Table_query__44[[#This Row],[Grant Received]]*0.9</f>
        <v>0</v>
      </c>
      <c r="V49" s="32"/>
      <c r="W49" s="32">
        <f>Table_query__44[[#This Row],[Grant Received]]*0.8</f>
        <v>0</v>
      </c>
      <c r="X49" s="32"/>
    </row>
    <row r="50" spans="1:24">
      <c r="A50" s="31" t="str">
        <f>LEFT(Table_query__44[[#This Row],[Title]],(FIND(" ",Table_query__44[[#This Row],[Title]],1)-1))</f>
        <v>CFF</v>
      </c>
      <c r="B50" s="32" t="s">
        <v>474</v>
      </c>
      <c r="C50" s="32" t="s">
        <v>479</v>
      </c>
      <c r="D50" s="34"/>
      <c r="E50" s="34"/>
      <c r="F50" s="32" t="s">
        <v>474</v>
      </c>
      <c r="G50" s="34"/>
      <c r="H50" s="34"/>
      <c r="I50" s="34"/>
      <c r="J50" s="34"/>
      <c r="K50" s="36"/>
      <c r="L50" s="32" t="s">
        <v>361</v>
      </c>
      <c r="M50" s="32"/>
      <c r="N50" s="32" t="s">
        <v>359</v>
      </c>
      <c r="O50" s="33">
        <v>43890.449837962966</v>
      </c>
      <c r="P50" s="32" t="s">
        <v>358</v>
      </c>
      <c r="Q50" s="32" t="s">
        <v>357</v>
      </c>
      <c r="R50" s="32"/>
      <c r="S50" s="32">
        <f>Table_query__44[[#This Row],[Grant Received]]*0.95</f>
        <v>0</v>
      </c>
      <c r="T50" s="32"/>
      <c r="U50" s="32">
        <f>Table_query__44[[#This Row],[Grant Received]]*0.9</f>
        <v>0</v>
      </c>
      <c r="V50" s="32"/>
      <c r="W50" s="32">
        <f>Table_query__44[[#This Row],[Grant Received]]*0.8</f>
        <v>0</v>
      </c>
      <c r="X50" s="32"/>
    </row>
    <row r="51" spans="1:24">
      <c r="A51" s="31" t="str">
        <f>LEFT(Table_query__44[[#This Row],[Title]],(FIND(" ",Table_query__44[[#This Row],[Title]],1)-1))</f>
        <v>CFF</v>
      </c>
      <c r="B51" s="32" t="s">
        <v>474</v>
      </c>
      <c r="C51" s="32" t="s">
        <v>260</v>
      </c>
      <c r="D51" s="34">
        <v>296</v>
      </c>
      <c r="E51" s="34">
        <v>4</v>
      </c>
      <c r="F51" s="32" t="s">
        <v>474</v>
      </c>
      <c r="G51" s="34">
        <v>8782.2800000000007</v>
      </c>
      <c r="H51" s="34">
        <v>10300</v>
      </c>
      <c r="I51" s="34">
        <v>1989.5</v>
      </c>
      <c r="J51" s="34">
        <v>1893.08</v>
      </c>
      <c r="K51" s="36">
        <v>1407.31</v>
      </c>
      <c r="L51" s="32" t="s">
        <v>361</v>
      </c>
      <c r="M51" s="32"/>
      <c r="N51" s="32" t="s">
        <v>359</v>
      </c>
      <c r="O51" s="33">
        <v>43896.755833333336</v>
      </c>
      <c r="P51" s="32" t="s">
        <v>358</v>
      </c>
      <c r="Q51" s="32" t="s">
        <v>357</v>
      </c>
      <c r="R51" s="32"/>
      <c r="S51" s="32">
        <f>Table_query__44[[#This Row],[Grant Received]]*0.95</f>
        <v>1336.9444999999998</v>
      </c>
      <c r="T51" s="32"/>
      <c r="U51" s="32">
        <f>Table_query__44[[#This Row],[Grant Received]]*0.9</f>
        <v>1266.579</v>
      </c>
      <c r="V51" s="32"/>
      <c r="W51" s="32">
        <f>Table_query__44[[#This Row],[Grant Received]]*0.8</f>
        <v>1125.848</v>
      </c>
      <c r="X51" s="32"/>
    </row>
    <row r="52" spans="1:24">
      <c r="A52" s="31" t="str">
        <f>LEFT(Table_query__44[[#This Row],[Title]],(FIND(" ",Table_query__44[[#This Row],[Title]],1)-1))</f>
        <v>CFF</v>
      </c>
      <c r="B52" s="32" t="s">
        <v>474</v>
      </c>
      <c r="C52" s="32" t="s">
        <v>478</v>
      </c>
      <c r="D52" s="34"/>
      <c r="E52" s="34"/>
      <c r="F52" s="32" t="s">
        <v>474</v>
      </c>
      <c r="G52" s="34"/>
      <c r="H52" s="34"/>
      <c r="I52" s="34"/>
      <c r="J52" s="34"/>
      <c r="K52" s="36"/>
      <c r="L52" s="32" t="s">
        <v>361</v>
      </c>
      <c r="M52" s="32"/>
      <c r="N52" s="32" t="s">
        <v>359</v>
      </c>
      <c r="O52" s="33">
        <v>43890.449988425928</v>
      </c>
      <c r="P52" s="32" t="s">
        <v>358</v>
      </c>
      <c r="Q52" s="32" t="s">
        <v>357</v>
      </c>
      <c r="R52" s="32"/>
      <c r="S52" s="32">
        <f>Table_query__44[[#This Row],[Grant Received]]*0.95</f>
        <v>0</v>
      </c>
      <c r="T52" s="32"/>
      <c r="U52" s="32">
        <f>Table_query__44[[#This Row],[Grant Received]]*0.9</f>
        <v>0</v>
      </c>
      <c r="V52" s="32"/>
      <c r="W52" s="32">
        <f>Table_query__44[[#This Row],[Grant Received]]*0.8</f>
        <v>0</v>
      </c>
      <c r="X52" s="32"/>
    </row>
    <row r="53" spans="1:24">
      <c r="A53" s="31" t="str">
        <f>LEFT(Table_query__44[[#This Row],[Title]],(FIND(" ",Table_query__44[[#This Row],[Title]],1)-1))</f>
        <v>CFF</v>
      </c>
      <c r="B53" s="32" t="s">
        <v>474</v>
      </c>
      <c r="C53" s="32" t="s">
        <v>477</v>
      </c>
      <c r="D53" s="34"/>
      <c r="E53" s="34"/>
      <c r="F53" s="32" t="s">
        <v>474</v>
      </c>
      <c r="G53" s="34"/>
      <c r="H53" s="34"/>
      <c r="I53" s="34"/>
      <c r="J53" s="34"/>
      <c r="K53" s="36"/>
      <c r="L53" s="32" t="s">
        <v>361</v>
      </c>
      <c r="M53" s="32"/>
      <c r="N53" s="32" t="s">
        <v>359</v>
      </c>
      <c r="O53" s="33">
        <v>43890.448958333334</v>
      </c>
      <c r="P53" s="32" t="s">
        <v>358</v>
      </c>
      <c r="Q53" s="32" t="s">
        <v>357</v>
      </c>
      <c r="R53" s="32"/>
      <c r="S53" s="32">
        <f>Table_query__44[[#This Row],[Grant Received]]*0.95</f>
        <v>0</v>
      </c>
      <c r="T53" s="32"/>
      <c r="U53" s="32">
        <f>Table_query__44[[#This Row],[Grant Received]]*0.9</f>
        <v>0</v>
      </c>
      <c r="V53" s="32"/>
      <c r="W53" s="32">
        <f>Table_query__44[[#This Row],[Grant Received]]*0.8</f>
        <v>0</v>
      </c>
      <c r="X53" s="32"/>
    </row>
    <row r="54" spans="1:24">
      <c r="A54" s="31" t="str">
        <f>LEFT(Table_query__44[[#This Row],[Title]],(FIND(" ",Table_query__44[[#This Row],[Title]],1)-1))</f>
        <v>CFF</v>
      </c>
      <c r="B54" s="32" t="s">
        <v>474</v>
      </c>
      <c r="C54" s="32" t="s">
        <v>258</v>
      </c>
      <c r="D54" s="34">
        <v>15</v>
      </c>
      <c r="E54" s="34">
        <v>2</v>
      </c>
      <c r="F54" s="32" t="s">
        <v>474</v>
      </c>
      <c r="G54" s="34">
        <v>106</v>
      </c>
      <c r="H54" s="34">
        <v>0</v>
      </c>
      <c r="I54" s="34">
        <v>90</v>
      </c>
      <c r="J54" s="34">
        <v>0</v>
      </c>
      <c r="K54" s="36">
        <v>0</v>
      </c>
      <c r="L54" s="32" t="s">
        <v>361</v>
      </c>
      <c r="M54" s="32"/>
      <c r="N54" s="32" t="s">
        <v>359</v>
      </c>
      <c r="O54" s="33">
        <v>43890.456342592595</v>
      </c>
      <c r="P54" s="32" t="s">
        <v>358</v>
      </c>
      <c r="Q54" s="32" t="s">
        <v>357</v>
      </c>
      <c r="R54" s="32"/>
      <c r="S54" s="32">
        <f>Table_query__44[[#This Row],[Grant Received]]*0.95</f>
        <v>0</v>
      </c>
      <c r="T54" s="32"/>
      <c r="U54" s="32">
        <f>Table_query__44[[#This Row],[Grant Received]]*0.9</f>
        <v>0</v>
      </c>
      <c r="V54" s="32"/>
      <c r="W54" s="32">
        <f>Table_query__44[[#This Row],[Grant Received]]*0.8</f>
        <v>0</v>
      </c>
      <c r="X54" s="32"/>
    </row>
    <row r="55" spans="1:24">
      <c r="A55" s="31" t="str">
        <f>LEFT(Table_query__44[[#This Row],[Title]],(FIND(" ",Table_query__44[[#This Row],[Title]],1)-1))</f>
        <v>CFF</v>
      </c>
      <c r="B55" s="32" t="s">
        <v>474</v>
      </c>
      <c r="C55" s="32" t="s">
        <v>476</v>
      </c>
      <c r="D55" s="34"/>
      <c r="E55" s="34"/>
      <c r="F55" s="32" t="s">
        <v>474</v>
      </c>
      <c r="G55" s="34"/>
      <c r="H55" s="34"/>
      <c r="I55" s="34"/>
      <c r="J55" s="34"/>
      <c r="K55" s="36"/>
      <c r="L55" s="32" t="s">
        <v>361</v>
      </c>
      <c r="M55" s="32"/>
      <c r="N55" s="32" t="s">
        <v>359</v>
      </c>
      <c r="O55" s="33">
        <v>43890.448842592596</v>
      </c>
      <c r="P55" s="32" t="s">
        <v>358</v>
      </c>
      <c r="Q55" s="32" t="s">
        <v>357</v>
      </c>
      <c r="R55" s="32"/>
      <c r="S55" s="32">
        <f>Table_query__44[[#This Row],[Grant Received]]*0.95</f>
        <v>0</v>
      </c>
      <c r="T55" s="32"/>
      <c r="U55" s="32">
        <f>Table_query__44[[#This Row],[Grant Received]]*0.9</f>
        <v>0</v>
      </c>
      <c r="V55" s="32"/>
      <c r="W55" s="32">
        <f>Table_query__44[[#This Row],[Grant Received]]*0.8</f>
        <v>0</v>
      </c>
      <c r="X55" s="32"/>
    </row>
    <row r="56" spans="1:24">
      <c r="A56" s="31" t="str">
        <f>LEFT(Table_query__44[[#This Row],[Title]],(FIND(" ",Table_query__44[[#This Row],[Title]],1)-1))</f>
        <v>CFF</v>
      </c>
      <c r="B56" s="32" t="s">
        <v>474</v>
      </c>
      <c r="C56" s="32" t="s">
        <v>257</v>
      </c>
      <c r="D56" s="34">
        <v>100</v>
      </c>
      <c r="E56" s="34">
        <v>3</v>
      </c>
      <c r="F56" s="32" t="s">
        <v>474</v>
      </c>
      <c r="G56" s="34">
        <v>11101.77</v>
      </c>
      <c r="H56" s="34">
        <v>10250</v>
      </c>
      <c r="I56" s="34">
        <v>1219.8800000000001</v>
      </c>
      <c r="J56" s="34">
        <v>150</v>
      </c>
      <c r="K56" s="36">
        <v>75</v>
      </c>
      <c r="L56" s="32" t="s">
        <v>361</v>
      </c>
      <c r="M56" s="32"/>
      <c r="N56" s="32" t="s">
        <v>359</v>
      </c>
      <c r="O56" s="33">
        <v>43962.478136574071</v>
      </c>
      <c r="P56" s="32" t="s">
        <v>358</v>
      </c>
      <c r="Q56" s="32" t="s">
        <v>357</v>
      </c>
      <c r="R56" s="32"/>
      <c r="S56" s="32">
        <f>Table_query__44[[#This Row],[Grant Received]]*0.95</f>
        <v>71.25</v>
      </c>
      <c r="T56" s="32"/>
      <c r="U56" s="32">
        <f>Table_query__44[[#This Row],[Grant Received]]*0.9</f>
        <v>67.5</v>
      </c>
      <c r="V56" s="32"/>
      <c r="W56" s="32">
        <f>Table_query__44[[#This Row],[Grant Received]]*0.8</f>
        <v>60</v>
      </c>
      <c r="X56" s="32"/>
    </row>
    <row r="57" spans="1:24">
      <c r="A57" s="31" t="str">
        <f>LEFT(Table_query__44[[#This Row],[Title]],(FIND(" ",Table_query__44[[#This Row],[Title]],1)-1))</f>
        <v>CFF</v>
      </c>
      <c r="B57" s="32" t="s">
        <v>474</v>
      </c>
      <c r="C57" s="32" t="s">
        <v>475</v>
      </c>
      <c r="D57" s="34"/>
      <c r="E57" s="34"/>
      <c r="F57" s="32" t="s">
        <v>474</v>
      </c>
      <c r="G57" s="34"/>
      <c r="H57" s="34"/>
      <c r="I57" s="34"/>
      <c r="J57" s="34"/>
      <c r="K57" s="36"/>
      <c r="L57" s="32" t="s">
        <v>361</v>
      </c>
      <c r="M57" s="32"/>
      <c r="N57" s="32" t="s">
        <v>359</v>
      </c>
      <c r="O57" s="33">
        <v>43890.448240740741</v>
      </c>
      <c r="P57" s="32" t="s">
        <v>358</v>
      </c>
      <c r="Q57" s="32" t="s">
        <v>357</v>
      </c>
      <c r="R57" s="32"/>
      <c r="S57" s="32">
        <f>Table_query__44[[#This Row],[Grant Received]]*0.95</f>
        <v>0</v>
      </c>
      <c r="T57" s="32"/>
      <c r="U57" s="32">
        <f>Table_query__44[[#This Row],[Grant Received]]*0.9</f>
        <v>0</v>
      </c>
      <c r="V57" s="32"/>
      <c r="W57" s="32">
        <f>Table_query__44[[#This Row],[Grant Received]]*0.8</f>
        <v>0</v>
      </c>
      <c r="X57" s="32"/>
    </row>
    <row r="58" spans="1:24">
      <c r="A58" s="31" t="str">
        <f>LEFT(Table_query__44[[#This Row],[Title]],(FIND(" ",Table_query__44[[#This Row],[Title]],1)-1))</f>
        <v>CFI</v>
      </c>
      <c r="B58" s="32" t="s">
        <v>469</v>
      </c>
      <c r="C58" s="32" t="s">
        <v>473</v>
      </c>
      <c r="D58" s="34"/>
      <c r="E58" s="34"/>
      <c r="F58" s="32" t="s">
        <v>469</v>
      </c>
      <c r="G58" s="34"/>
      <c r="H58" s="34"/>
      <c r="I58" s="34"/>
      <c r="J58" s="34"/>
      <c r="K58" s="36"/>
      <c r="L58" s="32" t="s">
        <v>361</v>
      </c>
      <c r="M58" s="32"/>
      <c r="N58" s="32" t="s">
        <v>359</v>
      </c>
      <c r="O58" s="33">
        <v>43890.386655092596</v>
      </c>
      <c r="P58" s="32" t="s">
        <v>358</v>
      </c>
      <c r="Q58" s="32" t="s">
        <v>357</v>
      </c>
      <c r="R58" s="32"/>
      <c r="S58" s="32">
        <f>Table_query__44[[#This Row],[Grant Received]]*0.95</f>
        <v>0</v>
      </c>
      <c r="T58" s="32"/>
      <c r="U58" s="32">
        <f>Table_query__44[[#This Row],[Grant Received]]*0.9</f>
        <v>0</v>
      </c>
      <c r="V58" s="32"/>
      <c r="W58" s="32">
        <f>Table_query__44[[#This Row],[Grant Received]]*0.8</f>
        <v>0</v>
      </c>
      <c r="X58" s="32"/>
    </row>
    <row r="59" spans="1:24">
      <c r="A59" s="31" t="str">
        <f>LEFT(Table_query__44[[#This Row],[Title]],(FIND(" ",Table_query__44[[#This Row],[Title]],1)-1))</f>
        <v>CFI</v>
      </c>
      <c r="B59" s="32" t="s">
        <v>469</v>
      </c>
      <c r="C59" s="32" t="s">
        <v>256</v>
      </c>
      <c r="D59" s="34"/>
      <c r="E59" s="34"/>
      <c r="F59" s="32" t="s">
        <v>469</v>
      </c>
      <c r="G59" s="34"/>
      <c r="H59" s="34"/>
      <c r="I59" s="34"/>
      <c r="J59" s="34"/>
      <c r="K59" s="36"/>
      <c r="L59" s="32" t="s">
        <v>361</v>
      </c>
      <c r="M59" s="32"/>
      <c r="N59" s="32" t="s">
        <v>359</v>
      </c>
      <c r="O59" s="33">
        <v>43890.386759259258</v>
      </c>
      <c r="P59" s="32" t="s">
        <v>358</v>
      </c>
      <c r="Q59" s="32" t="s">
        <v>357</v>
      </c>
      <c r="R59" s="32"/>
      <c r="S59" s="32">
        <f>Table_query__44[[#This Row],[Grant Received]]*0.95</f>
        <v>0</v>
      </c>
      <c r="T59" s="32"/>
      <c r="U59" s="32">
        <f>Table_query__44[[#This Row],[Grant Received]]*0.9</f>
        <v>0</v>
      </c>
      <c r="V59" s="32"/>
      <c r="W59" s="32">
        <f>Table_query__44[[#This Row],[Grant Received]]*0.8</f>
        <v>0</v>
      </c>
      <c r="X59" s="32"/>
    </row>
    <row r="60" spans="1:24">
      <c r="A60" s="31" t="str">
        <f>LEFT(Table_query__44[[#This Row],[Title]],(FIND(" ",Table_query__44[[#This Row],[Title]],1)-1))</f>
        <v>CFI</v>
      </c>
      <c r="B60" s="32" t="s">
        <v>469</v>
      </c>
      <c r="C60" s="32" t="s">
        <v>516</v>
      </c>
      <c r="D60" s="34">
        <v>25</v>
      </c>
      <c r="E60" s="34">
        <v>2</v>
      </c>
      <c r="F60" s="32" t="s">
        <v>469</v>
      </c>
      <c r="G60" s="34">
        <v>11895.6</v>
      </c>
      <c r="H60" s="34">
        <v>14886.97</v>
      </c>
      <c r="I60" s="34">
        <v>3260</v>
      </c>
      <c r="J60" s="34">
        <v>100</v>
      </c>
      <c r="K60" s="36">
        <v>25.86</v>
      </c>
      <c r="L60" s="32" t="s">
        <v>361</v>
      </c>
      <c r="M60" s="32"/>
      <c r="N60" s="32" t="s">
        <v>359</v>
      </c>
      <c r="O60" s="33">
        <v>43901.533310185187</v>
      </c>
      <c r="P60" s="32" t="s">
        <v>358</v>
      </c>
      <c r="Q60" s="32" t="s">
        <v>357</v>
      </c>
      <c r="R60" s="32"/>
      <c r="S60" s="32">
        <f>Table_query__44[[#This Row],[Grant Received]]*0.95</f>
        <v>24.566999999999997</v>
      </c>
      <c r="T60" s="32"/>
      <c r="U60" s="32">
        <f>Table_query__44[[#This Row],[Grant Received]]*0.9</f>
        <v>23.274000000000001</v>
      </c>
      <c r="V60" s="32"/>
      <c r="W60" s="32">
        <f>Table_query__44[[#This Row],[Grant Received]]*0.8</f>
        <v>20.688000000000002</v>
      </c>
      <c r="X60" s="32"/>
    </row>
    <row r="61" spans="1:24">
      <c r="A61" s="31" t="str">
        <f>LEFT(Table_query__44[[#This Row],[Title]],(FIND(" ",Table_query__44[[#This Row],[Title]],1)-1))</f>
        <v>CFI</v>
      </c>
      <c r="B61" s="32" t="s">
        <v>469</v>
      </c>
      <c r="C61" s="32" t="s">
        <v>255</v>
      </c>
      <c r="D61" s="34"/>
      <c r="E61" s="34"/>
      <c r="F61" s="32" t="s">
        <v>469</v>
      </c>
      <c r="G61" s="34"/>
      <c r="H61" s="34"/>
      <c r="I61" s="34"/>
      <c r="J61" s="34"/>
      <c r="K61" s="36"/>
      <c r="L61" s="32" t="s">
        <v>361</v>
      </c>
      <c r="M61" s="32"/>
      <c r="N61" s="32" t="s">
        <v>359</v>
      </c>
      <c r="O61" s="33">
        <v>43890.388449074075</v>
      </c>
      <c r="P61" s="32" t="s">
        <v>358</v>
      </c>
      <c r="Q61" s="32" t="s">
        <v>357</v>
      </c>
      <c r="R61" s="32"/>
      <c r="S61" s="32">
        <f>Table_query__44[[#This Row],[Grant Received]]*0.95</f>
        <v>0</v>
      </c>
      <c r="T61" s="32"/>
      <c r="U61" s="32">
        <f>Table_query__44[[#This Row],[Grant Received]]*0.9</f>
        <v>0</v>
      </c>
      <c r="V61" s="32"/>
      <c r="W61" s="32">
        <f>Table_query__44[[#This Row],[Grant Received]]*0.8</f>
        <v>0</v>
      </c>
      <c r="X61" s="32"/>
    </row>
    <row r="62" spans="1:24">
      <c r="A62" s="31" t="str">
        <f>LEFT(Table_query__44[[#This Row],[Title]],(FIND(" ",Table_query__44[[#This Row],[Title]],1)-1))</f>
        <v>CFI</v>
      </c>
      <c r="B62" s="32" t="s">
        <v>469</v>
      </c>
      <c r="C62" s="32" t="s">
        <v>472</v>
      </c>
      <c r="D62" s="34">
        <v>30</v>
      </c>
      <c r="E62" s="34">
        <v>0</v>
      </c>
      <c r="F62" s="32" t="s">
        <v>469</v>
      </c>
      <c r="G62" s="34">
        <v>80</v>
      </c>
      <c r="H62" s="34">
        <v>0</v>
      </c>
      <c r="I62" s="34">
        <v>80</v>
      </c>
      <c r="J62" s="34">
        <v>0</v>
      </c>
      <c r="K62" s="36">
        <v>0</v>
      </c>
      <c r="L62" s="32" t="s">
        <v>361</v>
      </c>
      <c r="M62" s="32"/>
      <c r="N62" s="32" t="s">
        <v>359</v>
      </c>
      <c r="O62" s="33">
        <v>43890.435590277775</v>
      </c>
      <c r="P62" s="32" t="s">
        <v>358</v>
      </c>
      <c r="Q62" s="32" t="s">
        <v>357</v>
      </c>
      <c r="R62" s="32"/>
      <c r="S62" s="32">
        <f>Table_query__44[[#This Row],[Grant Received]]*0.95</f>
        <v>0</v>
      </c>
      <c r="T62" s="32"/>
      <c r="U62" s="32">
        <f>Table_query__44[[#This Row],[Grant Received]]*0.9</f>
        <v>0</v>
      </c>
      <c r="V62" s="32"/>
      <c r="W62" s="32">
        <f>Table_query__44[[#This Row],[Grant Received]]*0.8</f>
        <v>0</v>
      </c>
      <c r="X62" s="32"/>
    </row>
    <row r="63" spans="1:24">
      <c r="A63" s="31" t="str">
        <f>LEFT(Table_query__44[[#This Row],[Title]],(FIND(" ",Table_query__44[[#This Row],[Title]],1)-1))</f>
        <v>CFI</v>
      </c>
      <c r="B63" s="32" t="s">
        <v>469</v>
      </c>
      <c r="C63" s="32" t="s">
        <v>253</v>
      </c>
      <c r="D63" s="34">
        <v>70</v>
      </c>
      <c r="E63" s="34">
        <v>0</v>
      </c>
      <c r="F63" s="32" t="s">
        <v>469</v>
      </c>
      <c r="G63" s="34">
        <v>34750</v>
      </c>
      <c r="H63" s="34">
        <v>25603</v>
      </c>
      <c r="I63" s="34">
        <v>7850</v>
      </c>
      <c r="J63" s="34">
        <v>0</v>
      </c>
      <c r="K63" s="36">
        <v>0</v>
      </c>
      <c r="L63" s="32" t="s">
        <v>361</v>
      </c>
      <c r="M63" s="32"/>
      <c r="N63" s="32" t="s">
        <v>359</v>
      </c>
      <c r="O63" s="33">
        <v>43890.438032407408</v>
      </c>
      <c r="P63" s="32" t="s">
        <v>358</v>
      </c>
      <c r="Q63" s="32" t="s">
        <v>357</v>
      </c>
      <c r="R63" s="32"/>
      <c r="S63" s="32">
        <f>Table_query__44[[#This Row],[Grant Received]]*0.95</f>
        <v>0</v>
      </c>
      <c r="T63" s="32"/>
      <c r="U63" s="32">
        <f>Table_query__44[[#This Row],[Grant Received]]*0.9</f>
        <v>0</v>
      </c>
      <c r="V63" s="32"/>
      <c r="W63" s="32">
        <f>Table_query__44[[#This Row],[Grant Received]]*0.8</f>
        <v>0</v>
      </c>
      <c r="X63" s="32"/>
    </row>
    <row r="64" spans="1:24">
      <c r="A64" s="31" t="str">
        <f>LEFT(Table_query__44[[#This Row],[Title]],(FIND(" ",Table_query__44[[#This Row],[Title]],1)-1))</f>
        <v>CFI</v>
      </c>
      <c r="B64" s="32" t="s">
        <v>469</v>
      </c>
      <c r="C64" s="32" t="s">
        <v>471</v>
      </c>
      <c r="D64" s="34"/>
      <c r="E64" s="34"/>
      <c r="F64" s="32" t="s">
        <v>469</v>
      </c>
      <c r="G64" s="34"/>
      <c r="H64" s="34"/>
      <c r="I64" s="34"/>
      <c r="J64" s="34"/>
      <c r="K64" s="36"/>
      <c r="L64" s="32" t="s">
        <v>361</v>
      </c>
      <c r="M64" s="32"/>
      <c r="N64" s="32" t="s">
        <v>359</v>
      </c>
      <c r="O64" s="33">
        <v>43890.38858796296</v>
      </c>
      <c r="P64" s="32" t="s">
        <v>358</v>
      </c>
      <c r="Q64" s="32" t="s">
        <v>357</v>
      </c>
      <c r="R64" s="32"/>
      <c r="S64" s="32">
        <f>Table_query__44[[#This Row],[Grant Received]]*0.95</f>
        <v>0</v>
      </c>
      <c r="T64" s="32"/>
      <c r="U64" s="32">
        <f>Table_query__44[[#This Row],[Grant Received]]*0.9</f>
        <v>0</v>
      </c>
      <c r="V64" s="32"/>
      <c r="W64" s="32">
        <f>Table_query__44[[#This Row],[Grant Received]]*0.8</f>
        <v>0</v>
      </c>
      <c r="X64" s="32"/>
    </row>
    <row r="65" spans="1:24">
      <c r="A65" s="31" t="str">
        <f>LEFT(Table_query__44[[#This Row],[Title]],(FIND(" ",Table_query__44[[#This Row],[Title]],1)-1))</f>
        <v>CFI</v>
      </c>
      <c r="B65" s="32" t="s">
        <v>469</v>
      </c>
      <c r="C65" s="32" t="s">
        <v>252</v>
      </c>
      <c r="D65" s="34"/>
      <c r="E65" s="34"/>
      <c r="F65" s="32" t="s">
        <v>469</v>
      </c>
      <c r="G65" s="34"/>
      <c r="H65" s="34"/>
      <c r="I65" s="34"/>
      <c r="J65" s="34"/>
      <c r="K65" s="36"/>
      <c r="L65" s="32" t="s">
        <v>361</v>
      </c>
      <c r="M65" s="32"/>
      <c r="N65" s="32" t="s">
        <v>359</v>
      </c>
      <c r="O65" s="33">
        <v>43890.388680555552</v>
      </c>
      <c r="P65" s="32" t="s">
        <v>358</v>
      </c>
      <c r="Q65" s="32" t="s">
        <v>357</v>
      </c>
      <c r="R65" s="32"/>
      <c r="S65" s="32">
        <f>Table_query__44[[#This Row],[Grant Received]]*0.95</f>
        <v>0</v>
      </c>
      <c r="T65" s="32"/>
      <c r="U65" s="32">
        <f>Table_query__44[[#This Row],[Grant Received]]*0.9</f>
        <v>0</v>
      </c>
      <c r="V65" s="32"/>
      <c r="W65" s="32">
        <f>Table_query__44[[#This Row],[Grant Received]]*0.8</f>
        <v>0</v>
      </c>
      <c r="X65" s="32"/>
    </row>
    <row r="66" spans="1:24">
      <c r="A66" s="31" t="str">
        <f>LEFT(Table_query__44[[#This Row],[Title]],(FIND(" ",Table_query__44[[#This Row],[Title]],1)-1))</f>
        <v>CFI</v>
      </c>
      <c r="B66" s="32" t="s">
        <v>469</v>
      </c>
      <c r="C66" s="32" t="s">
        <v>251</v>
      </c>
      <c r="D66" s="34">
        <v>20</v>
      </c>
      <c r="E66" s="34">
        <v>4</v>
      </c>
      <c r="F66" s="32" t="s">
        <v>469</v>
      </c>
      <c r="G66" s="34">
        <v>7944</v>
      </c>
      <c r="H66" s="34">
        <v>6114</v>
      </c>
      <c r="I66" s="34">
        <v>1750</v>
      </c>
      <c r="J66" s="34">
        <v>120</v>
      </c>
      <c r="K66" s="36">
        <v>60</v>
      </c>
      <c r="L66" s="32" t="s">
        <v>361</v>
      </c>
      <c r="M66" s="32"/>
      <c r="N66" s="32" t="s">
        <v>359</v>
      </c>
      <c r="O66" s="33">
        <v>43906.453715277778</v>
      </c>
      <c r="P66" s="32" t="s">
        <v>358</v>
      </c>
      <c r="Q66" s="32" t="s">
        <v>357</v>
      </c>
      <c r="R66" s="32"/>
      <c r="S66" s="32">
        <f>Table_query__44[[#This Row],[Grant Received]]*0.95</f>
        <v>57</v>
      </c>
      <c r="T66" s="32"/>
      <c r="U66" s="32">
        <f>Table_query__44[[#This Row],[Grant Received]]*0.9</f>
        <v>54</v>
      </c>
      <c r="V66" s="32"/>
      <c r="W66" s="32">
        <f>Table_query__44[[#This Row],[Grant Received]]*0.8</f>
        <v>48</v>
      </c>
      <c r="X66" s="32"/>
    </row>
    <row r="67" spans="1:24">
      <c r="A67" s="31" t="str">
        <f>LEFT(Table_query__44[[#This Row],[Title]],(FIND(" ",Table_query__44[[#This Row],[Title]],1)-1))</f>
        <v>CFI</v>
      </c>
      <c r="B67" s="32" t="s">
        <v>469</v>
      </c>
      <c r="C67" s="32" t="s">
        <v>250</v>
      </c>
      <c r="D67" s="34"/>
      <c r="E67" s="34"/>
      <c r="F67" s="32" t="s">
        <v>469</v>
      </c>
      <c r="G67" s="34"/>
      <c r="H67" s="34"/>
      <c r="I67" s="34"/>
      <c r="J67" s="34"/>
      <c r="K67" s="36"/>
      <c r="L67" s="32" t="s">
        <v>361</v>
      </c>
      <c r="M67" s="32"/>
      <c r="N67" s="32" t="s">
        <v>359</v>
      </c>
      <c r="O67" s="33">
        <v>43890.388773148145</v>
      </c>
      <c r="P67" s="32" t="s">
        <v>358</v>
      </c>
      <c r="Q67" s="32" t="s">
        <v>357</v>
      </c>
      <c r="R67" s="32"/>
      <c r="S67" s="32">
        <f>Table_query__44[[#This Row],[Grant Received]]*0.95</f>
        <v>0</v>
      </c>
      <c r="T67" s="32"/>
      <c r="U67" s="32">
        <f>Table_query__44[[#This Row],[Grant Received]]*0.9</f>
        <v>0</v>
      </c>
      <c r="V67" s="32"/>
      <c r="W67" s="32">
        <f>Table_query__44[[#This Row],[Grant Received]]*0.8</f>
        <v>0</v>
      </c>
      <c r="X67" s="32"/>
    </row>
    <row r="68" spans="1:24">
      <c r="A68" s="31" t="str">
        <f>LEFT(Table_query__44[[#This Row],[Title]],(FIND(" ",Table_query__44[[#This Row],[Title]],1)-1))</f>
        <v>CFI</v>
      </c>
      <c r="B68" s="32" t="s">
        <v>469</v>
      </c>
      <c r="C68" s="32" t="s">
        <v>249</v>
      </c>
      <c r="D68" s="34"/>
      <c r="E68" s="34"/>
      <c r="F68" s="32" t="s">
        <v>469</v>
      </c>
      <c r="G68" s="34"/>
      <c r="H68" s="34"/>
      <c r="I68" s="34"/>
      <c r="J68" s="34"/>
      <c r="K68" s="36"/>
      <c r="L68" s="32" t="s">
        <v>361</v>
      </c>
      <c r="M68" s="32"/>
      <c r="N68" s="32" t="s">
        <v>359</v>
      </c>
      <c r="O68" s="33">
        <v>43890.389930555553</v>
      </c>
      <c r="P68" s="32" t="s">
        <v>358</v>
      </c>
      <c r="Q68" s="32" t="s">
        <v>357</v>
      </c>
      <c r="R68" s="32"/>
      <c r="S68" s="32">
        <f>Table_query__44[[#This Row],[Grant Received]]*0.95</f>
        <v>0</v>
      </c>
      <c r="T68" s="32"/>
      <c r="U68" s="32">
        <f>Table_query__44[[#This Row],[Grant Received]]*0.9</f>
        <v>0</v>
      </c>
      <c r="V68" s="32"/>
      <c r="W68" s="32">
        <f>Table_query__44[[#This Row],[Grant Received]]*0.8</f>
        <v>0</v>
      </c>
      <c r="X68" s="32"/>
    </row>
    <row r="69" spans="1:24">
      <c r="A69" s="31" t="str">
        <f>LEFT(Table_query__44[[#This Row],[Title]],(FIND(" ",Table_query__44[[#This Row],[Title]],1)-1))</f>
        <v>CFI</v>
      </c>
      <c r="B69" s="32" t="s">
        <v>469</v>
      </c>
      <c r="C69" s="32" t="s">
        <v>470</v>
      </c>
      <c r="D69" s="34"/>
      <c r="E69" s="34"/>
      <c r="F69" s="32" t="s">
        <v>469</v>
      </c>
      <c r="G69" s="34"/>
      <c r="H69" s="34"/>
      <c r="I69" s="34"/>
      <c r="J69" s="34"/>
      <c r="K69" s="36"/>
      <c r="L69" s="32" t="s">
        <v>361</v>
      </c>
      <c r="M69" s="32"/>
      <c r="N69" s="32" t="s">
        <v>359</v>
      </c>
      <c r="O69" s="33">
        <v>43890.390300925923</v>
      </c>
      <c r="P69" s="32" t="s">
        <v>358</v>
      </c>
      <c r="Q69" s="32" t="s">
        <v>357</v>
      </c>
      <c r="R69" s="32"/>
      <c r="S69" s="32">
        <f>Table_query__44[[#This Row],[Grant Received]]*0.95</f>
        <v>0</v>
      </c>
      <c r="T69" s="32"/>
      <c r="U69" s="32">
        <f>Table_query__44[[#This Row],[Grant Received]]*0.9</f>
        <v>0</v>
      </c>
      <c r="V69" s="32"/>
      <c r="W69" s="32">
        <f>Table_query__44[[#This Row],[Grant Received]]*0.8</f>
        <v>0</v>
      </c>
      <c r="X69" s="32"/>
    </row>
    <row r="70" spans="1:24">
      <c r="A70" s="31" t="str">
        <f>LEFT(Table_query__44[[#This Row],[Title]],(FIND(" ",Table_query__44[[#This Row],[Title]],1)-1))</f>
        <v>CFR</v>
      </c>
      <c r="B70" s="32" t="s">
        <v>465</v>
      </c>
      <c r="C70" s="32" t="s">
        <v>468</v>
      </c>
      <c r="D70" s="34"/>
      <c r="E70" s="34"/>
      <c r="F70" s="32" t="s">
        <v>465</v>
      </c>
      <c r="G70" s="34"/>
      <c r="H70" s="34"/>
      <c r="I70" s="34"/>
      <c r="J70" s="34"/>
      <c r="K70" s="36"/>
      <c r="L70" s="32" t="s">
        <v>361</v>
      </c>
      <c r="M70" s="32"/>
      <c r="N70" s="32" t="s">
        <v>359</v>
      </c>
      <c r="O70" s="33">
        <v>43890.446018518516</v>
      </c>
      <c r="P70" s="32" t="s">
        <v>358</v>
      </c>
      <c r="Q70" s="32" t="s">
        <v>357</v>
      </c>
      <c r="R70" s="32"/>
      <c r="S70" s="32">
        <f>Table_query__44[[#This Row],[Grant Received]]*0.95</f>
        <v>0</v>
      </c>
      <c r="T70" s="32"/>
      <c r="U70" s="32">
        <f>Table_query__44[[#This Row],[Grant Received]]*0.9</f>
        <v>0</v>
      </c>
      <c r="V70" s="32"/>
      <c r="W70" s="32">
        <f>Table_query__44[[#This Row],[Grant Received]]*0.8</f>
        <v>0</v>
      </c>
      <c r="X70" s="32"/>
    </row>
    <row r="71" spans="1:24">
      <c r="A71" s="31" t="str">
        <f>LEFT(Table_query__44[[#This Row],[Title]],(FIND(" ",Table_query__44[[#This Row],[Title]],1)-1))</f>
        <v>CFR</v>
      </c>
      <c r="B71" s="32" t="s">
        <v>465</v>
      </c>
      <c r="C71" s="32" t="s">
        <v>467</v>
      </c>
      <c r="D71" s="34"/>
      <c r="E71" s="34"/>
      <c r="F71" s="32" t="s">
        <v>465</v>
      </c>
      <c r="G71" s="34"/>
      <c r="H71" s="34"/>
      <c r="I71" s="34"/>
      <c r="J71" s="34"/>
      <c r="K71" s="36"/>
      <c r="L71" s="32" t="s">
        <v>361</v>
      </c>
      <c r="M71" s="32"/>
      <c r="N71" s="32" t="s">
        <v>359</v>
      </c>
      <c r="O71" s="33">
        <v>43890.445763888885</v>
      </c>
      <c r="P71" s="32" t="s">
        <v>358</v>
      </c>
      <c r="Q71" s="32" t="s">
        <v>357</v>
      </c>
      <c r="R71" s="32"/>
      <c r="S71" s="32">
        <f>Table_query__44[[#This Row],[Grant Received]]*0.95</f>
        <v>0</v>
      </c>
      <c r="T71" s="32"/>
      <c r="U71" s="32">
        <f>Table_query__44[[#This Row],[Grant Received]]*0.9</f>
        <v>0</v>
      </c>
      <c r="V71" s="32"/>
      <c r="W71" s="32">
        <f>Table_query__44[[#This Row],[Grant Received]]*0.8</f>
        <v>0</v>
      </c>
      <c r="X71" s="32"/>
    </row>
    <row r="72" spans="1:24">
      <c r="A72" s="31" t="str">
        <f>LEFT(Table_query__44[[#This Row],[Title]],(FIND(" ",Table_query__44[[#This Row],[Title]],1)-1))</f>
        <v>CFR</v>
      </c>
      <c r="B72" s="32" t="s">
        <v>465</v>
      </c>
      <c r="C72" s="32" t="s">
        <v>466</v>
      </c>
      <c r="D72" s="34">
        <v>70</v>
      </c>
      <c r="E72" s="34">
        <v>3</v>
      </c>
      <c r="F72" s="32" t="s">
        <v>465</v>
      </c>
      <c r="G72" s="34">
        <v>3000</v>
      </c>
      <c r="H72" s="34">
        <v>2960</v>
      </c>
      <c r="I72" s="34">
        <v>80</v>
      </c>
      <c r="J72" s="34">
        <v>0</v>
      </c>
      <c r="K72" s="36">
        <v>0</v>
      </c>
      <c r="L72" s="32" t="s">
        <v>361</v>
      </c>
      <c r="M72" s="32"/>
      <c r="N72" s="32" t="s">
        <v>359</v>
      </c>
      <c r="O72" s="33">
        <v>43890.445555555554</v>
      </c>
      <c r="P72" s="32" t="s">
        <v>358</v>
      </c>
      <c r="Q72" s="32" t="s">
        <v>357</v>
      </c>
      <c r="R72" s="32"/>
      <c r="S72" s="32">
        <f>Table_query__44[[#This Row],[Grant Received]]*0.95</f>
        <v>0</v>
      </c>
      <c r="T72" s="32"/>
      <c r="U72" s="32">
        <f>Table_query__44[[#This Row],[Grant Received]]*0.9</f>
        <v>0</v>
      </c>
      <c r="V72" s="32"/>
      <c r="W72" s="32">
        <f>Table_query__44[[#This Row],[Grant Received]]*0.8</f>
        <v>0</v>
      </c>
      <c r="X72" s="32"/>
    </row>
    <row r="73" spans="1:24">
      <c r="A73" s="31" t="str">
        <f>LEFT(Table_query__44[[#This Row],[Title]],(FIND(" ",Table_query__44[[#This Row],[Title]],1)-1))</f>
        <v>CGCU</v>
      </c>
      <c r="B73" s="32" t="s">
        <v>367</v>
      </c>
      <c r="C73" s="32" t="s">
        <v>248</v>
      </c>
      <c r="D73" s="34">
        <v>500</v>
      </c>
      <c r="E73" s="34">
        <v>0</v>
      </c>
      <c r="F73" s="32" t="s">
        <v>367</v>
      </c>
      <c r="G73" s="34">
        <v>12795</v>
      </c>
      <c r="H73" s="34">
        <v>12880</v>
      </c>
      <c r="I73" s="34">
        <v>1655</v>
      </c>
      <c r="J73" s="34">
        <v>925</v>
      </c>
      <c r="K73" s="36">
        <v>577.5</v>
      </c>
      <c r="L73" s="32" t="s">
        <v>361</v>
      </c>
      <c r="M73" s="32"/>
      <c r="N73" s="32" t="s">
        <v>359</v>
      </c>
      <c r="O73" s="33">
        <v>43890.472974537035</v>
      </c>
      <c r="P73" s="32" t="s">
        <v>358</v>
      </c>
      <c r="Q73" s="32" t="s">
        <v>357</v>
      </c>
      <c r="R73" s="32"/>
      <c r="S73" s="32">
        <f>Table_query__44[[#This Row],[Grant Received]]*0.95</f>
        <v>548.625</v>
      </c>
      <c r="T73" s="32"/>
      <c r="U73" s="32">
        <f>Table_query__44[[#This Row],[Grant Received]]*0.9</f>
        <v>519.75</v>
      </c>
      <c r="V73" s="32"/>
      <c r="W73" s="32">
        <f>Table_query__44[[#This Row],[Grant Received]]*0.8</f>
        <v>462</v>
      </c>
      <c r="X73" s="32"/>
    </row>
    <row r="74" spans="1:24">
      <c r="A74" s="31" t="str">
        <f>LEFT(Table_query__44[[#This Row],[Title]],(FIND(" ",Table_query__44[[#This Row],[Title]],1)-1))</f>
        <v>CGCU</v>
      </c>
      <c r="B74" s="32" t="s">
        <v>367</v>
      </c>
      <c r="C74" s="32" t="s">
        <v>247</v>
      </c>
      <c r="D74" s="34">
        <v>50</v>
      </c>
      <c r="E74" s="34">
        <v>3</v>
      </c>
      <c r="F74" s="32" t="s">
        <v>367</v>
      </c>
      <c r="G74" s="34">
        <v>16225</v>
      </c>
      <c r="H74" s="34">
        <v>14630</v>
      </c>
      <c r="I74" s="34">
        <v>2155</v>
      </c>
      <c r="J74" s="34">
        <v>1640</v>
      </c>
      <c r="K74" s="36">
        <v>1124.02089</v>
      </c>
      <c r="L74" s="32" t="s">
        <v>361</v>
      </c>
      <c r="M74" s="32"/>
      <c r="N74" s="32" t="s">
        <v>359</v>
      </c>
      <c r="O74" s="33">
        <v>43901.534456018519</v>
      </c>
      <c r="P74" s="32" t="s">
        <v>358</v>
      </c>
      <c r="Q74" s="32" t="s">
        <v>357</v>
      </c>
      <c r="R74" s="32"/>
      <c r="S74" s="32">
        <f>Table_query__44[[#This Row],[Grant Received]]*0.95</f>
        <v>1067.8198454999999</v>
      </c>
      <c r="T74" s="32"/>
      <c r="U74" s="32">
        <f>Table_query__44[[#This Row],[Grant Received]]*0.9</f>
        <v>1011.6188010000001</v>
      </c>
      <c r="V74" s="32"/>
      <c r="W74" s="32">
        <f>Table_query__44[[#This Row],[Grant Received]]*0.8</f>
        <v>899.21671200000003</v>
      </c>
      <c r="X74" s="32"/>
    </row>
    <row r="75" spans="1:24">
      <c r="A75" s="31" t="str">
        <f>LEFT(Table_query__44[[#This Row],[Title]],(FIND(" ",Table_query__44[[#This Row],[Title]],1)-1))</f>
        <v>CGCU</v>
      </c>
      <c r="B75" s="32" t="s">
        <v>367</v>
      </c>
      <c r="C75" s="32" t="s">
        <v>246</v>
      </c>
      <c r="D75" s="34">
        <v>600</v>
      </c>
      <c r="E75" s="34">
        <v>0</v>
      </c>
      <c r="F75" s="32" t="s">
        <v>367</v>
      </c>
      <c r="G75" s="34">
        <v>44375</v>
      </c>
      <c r="H75" s="34">
        <v>48825</v>
      </c>
      <c r="I75" s="34">
        <v>2400</v>
      </c>
      <c r="J75" s="34">
        <v>1900</v>
      </c>
      <c r="K75" s="36">
        <v>1200</v>
      </c>
      <c r="L75" s="32" t="s">
        <v>361</v>
      </c>
      <c r="M75" s="32"/>
      <c r="N75" s="32" t="s">
        <v>359</v>
      </c>
      <c r="O75" s="33">
        <v>43890.57230324074</v>
      </c>
      <c r="P75" s="32" t="s">
        <v>358</v>
      </c>
      <c r="Q75" s="32" t="s">
        <v>357</v>
      </c>
      <c r="R75" s="32"/>
      <c r="S75" s="32">
        <f>Table_query__44[[#This Row],[Grant Received]]*0.95</f>
        <v>1140</v>
      </c>
      <c r="T75" s="32"/>
      <c r="U75" s="32">
        <f>Table_query__44[[#This Row],[Grant Received]]*0.9</f>
        <v>1080</v>
      </c>
      <c r="V75" s="32"/>
      <c r="W75" s="32">
        <f>Table_query__44[[#This Row],[Grant Received]]*0.8</f>
        <v>960</v>
      </c>
      <c r="X75" s="32"/>
    </row>
    <row r="76" spans="1:24">
      <c r="A76" s="31" t="str">
        <f>LEFT(Table_query__44[[#This Row],[Title]],(FIND(" ",Table_query__44[[#This Row],[Title]],1)-1))</f>
        <v>CGCU</v>
      </c>
      <c r="B76" s="32" t="s">
        <v>367</v>
      </c>
      <c r="C76" s="32" t="s">
        <v>245</v>
      </c>
      <c r="D76" s="34"/>
      <c r="E76" s="34"/>
      <c r="F76" s="32" t="s">
        <v>367</v>
      </c>
      <c r="G76" s="34">
        <v>42445.5</v>
      </c>
      <c r="H76" s="34">
        <v>35695</v>
      </c>
      <c r="I76" s="34">
        <v>5550</v>
      </c>
      <c r="J76" s="34">
        <v>1150</v>
      </c>
      <c r="K76" s="36">
        <v>501.45749999999998</v>
      </c>
      <c r="L76" s="32" t="s">
        <v>361</v>
      </c>
      <c r="M76" s="32"/>
      <c r="N76" s="32" t="s">
        <v>359</v>
      </c>
      <c r="O76" s="33">
        <v>43901.53465277778</v>
      </c>
      <c r="P76" s="32" t="s">
        <v>358</v>
      </c>
      <c r="Q76" s="32" t="s">
        <v>357</v>
      </c>
      <c r="R76" s="32"/>
      <c r="S76" s="32">
        <f>Table_query__44[[#This Row],[Grant Received]]*0.95</f>
        <v>476.38462499999997</v>
      </c>
      <c r="T76" s="32"/>
      <c r="U76" s="32">
        <f>Table_query__44[[#This Row],[Grant Received]]*0.9</f>
        <v>451.31175000000002</v>
      </c>
      <c r="V76" s="32"/>
      <c r="W76" s="32">
        <f>Table_query__44[[#This Row],[Grant Received]]*0.8</f>
        <v>401.166</v>
      </c>
      <c r="X76" s="32"/>
    </row>
    <row r="77" spans="1:24">
      <c r="A77" s="31" t="str">
        <f>LEFT(Table_query__44[[#This Row],[Title]],(FIND(" ",Table_query__44[[#This Row],[Title]],1)-1))</f>
        <v>CGCU</v>
      </c>
      <c r="B77" s="32" t="s">
        <v>367</v>
      </c>
      <c r="C77" s="32" t="s">
        <v>244</v>
      </c>
      <c r="D77" s="34"/>
      <c r="E77" s="34"/>
      <c r="F77" s="32" t="s">
        <v>367</v>
      </c>
      <c r="G77" s="34">
        <v>15941.415000000001</v>
      </c>
      <c r="H77" s="34">
        <v>15944</v>
      </c>
      <c r="I77" s="34">
        <v>0</v>
      </c>
      <c r="J77" s="34"/>
      <c r="K77" s="36"/>
      <c r="L77" s="32" t="s">
        <v>361</v>
      </c>
      <c r="M77" s="32"/>
      <c r="N77" s="32" t="s">
        <v>359</v>
      </c>
      <c r="O77" s="33">
        <v>43890.58216435185</v>
      </c>
      <c r="P77" s="32" t="s">
        <v>358</v>
      </c>
      <c r="Q77" s="32" t="s">
        <v>357</v>
      </c>
      <c r="R77" s="32"/>
      <c r="S77" s="32">
        <f>Table_query__44[[#This Row],[Grant Received]]*0.95</f>
        <v>0</v>
      </c>
      <c r="T77" s="32"/>
      <c r="U77" s="32">
        <f>Table_query__44[[#This Row],[Grant Received]]*0.9</f>
        <v>0</v>
      </c>
      <c r="V77" s="32"/>
      <c r="W77" s="32">
        <f>Table_query__44[[#This Row],[Grant Received]]*0.8</f>
        <v>0</v>
      </c>
      <c r="X77" s="32"/>
    </row>
    <row r="78" spans="1:24">
      <c r="A78" s="31" t="str">
        <f>LEFT(Table_query__44[[#This Row],[Title]],(FIND(" ",Table_query__44[[#This Row],[Title]],1)-1))</f>
        <v>CGCU</v>
      </c>
      <c r="B78" s="32" t="s">
        <v>367</v>
      </c>
      <c r="C78" s="32" t="s">
        <v>243</v>
      </c>
      <c r="D78" s="34">
        <v>6</v>
      </c>
      <c r="E78" s="34">
        <v>10</v>
      </c>
      <c r="F78" s="32" t="s">
        <v>367</v>
      </c>
      <c r="G78" s="34">
        <v>18524</v>
      </c>
      <c r="H78" s="34">
        <v>18400</v>
      </c>
      <c r="I78" s="34">
        <v>1700</v>
      </c>
      <c r="J78" s="34">
        <v>800</v>
      </c>
      <c r="K78" s="36">
        <v>680</v>
      </c>
      <c r="L78" s="32" t="s">
        <v>361</v>
      </c>
      <c r="M78" s="32"/>
      <c r="N78" s="32" t="s">
        <v>359</v>
      </c>
      <c r="O78" s="33">
        <v>43890.587210648147</v>
      </c>
      <c r="P78" s="32" t="s">
        <v>358</v>
      </c>
      <c r="Q78" s="32" t="s">
        <v>357</v>
      </c>
      <c r="R78" s="32"/>
      <c r="S78" s="32">
        <f>Table_query__44[[#This Row],[Grant Received]]*0.95</f>
        <v>646</v>
      </c>
      <c r="T78" s="32"/>
      <c r="U78" s="32">
        <f>Table_query__44[[#This Row],[Grant Received]]*0.9</f>
        <v>612</v>
      </c>
      <c r="V78" s="32"/>
      <c r="W78" s="32">
        <f>Table_query__44[[#This Row],[Grant Received]]*0.8</f>
        <v>544</v>
      </c>
      <c r="X78" s="32"/>
    </row>
    <row r="79" spans="1:24">
      <c r="A79" s="31" t="str">
        <f>LEFT(Table_query__44[[#This Row],[Title]],(FIND(" ",Table_query__44[[#This Row],[Title]],1)-1))</f>
        <v>CGCU</v>
      </c>
      <c r="B79" s="32" t="s">
        <v>367</v>
      </c>
      <c r="C79" s="32" t="s">
        <v>242</v>
      </c>
      <c r="D79" s="34">
        <v>60</v>
      </c>
      <c r="E79" s="34">
        <v>30</v>
      </c>
      <c r="F79" s="32" t="s">
        <v>367</v>
      </c>
      <c r="G79" s="34">
        <v>167800</v>
      </c>
      <c r="H79" s="34">
        <v>168250</v>
      </c>
      <c r="I79" s="34">
        <v>0</v>
      </c>
      <c r="J79" s="34"/>
      <c r="K79" s="36"/>
      <c r="L79" s="32" t="s">
        <v>361</v>
      </c>
      <c r="M79" s="32"/>
      <c r="N79" s="32" t="s">
        <v>359</v>
      </c>
      <c r="O79" s="33">
        <v>43890.587858796294</v>
      </c>
      <c r="P79" s="32" t="s">
        <v>358</v>
      </c>
      <c r="Q79" s="32" t="s">
        <v>357</v>
      </c>
      <c r="R79" s="32"/>
      <c r="S79" s="32">
        <f>Table_query__44[[#This Row],[Grant Received]]*0.95</f>
        <v>0</v>
      </c>
      <c r="T79" s="32"/>
      <c r="U79" s="32">
        <f>Table_query__44[[#This Row],[Grant Received]]*0.9</f>
        <v>0</v>
      </c>
      <c r="V79" s="32"/>
      <c r="W79" s="32">
        <f>Table_query__44[[#This Row],[Grant Received]]*0.8</f>
        <v>0</v>
      </c>
      <c r="X79" s="32"/>
    </row>
    <row r="80" spans="1:24">
      <c r="A80" s="31" t="str">
        <f>LEFT(Table_query__44[[#This Row],[Title]],(FIND(" ",Table_query__44[[#This Row],[Title]],1)-1))</f>
        <v>CGCU</v>
      </c>
      <c r="B80" s="32" t="s">
        <v>367</v>
      </c>
      <c r="C80" s="32" t="s">
        <v>241</v>
      </c>
      <c r="D80" s="34">
        <v>60</v>
      </c>
      <c r="E80" s="34">
        <v>5</v>
      </c>
      <c r="F80" s="32" t="s">
        <v>367</v>
      </c>
      <c r="G80" s="34">
        <v>6590</v>
      </c>
      <c r="H80" s="34">
        <v>2985</v>
      </c>
      <c r="I80" s="34">
        <v>3710</v>
      </c>
      <c r="J80" s="34">
        <v>3710</v>
      </c>
      <c r="K80" s="36">
        <v>1257.3</v>
      </c>
      <c r="L80" s="32" t="s">
        <v>361</v>
      </c>
      <c r="M80" s="32"/>
      <c r="N80" s="32" t="s">
        <v>359</v>
      </c>
      <c r="O80" s="33">
        <v>43906.454039351855</v>
      </c>
      <c r="P80" s="32" t="s">
        <v>358</v>
      </c>
      <c r="Q80" s="32" t="s">
        <v>357</v>
      </c>
      <c r="R80" s="32"/>
      <c r="S80" s="32">
        <f>Table_query__44[[#This Row],[Grant Received]]*0.95</f>
        <v>1194.4349999999999</v>
      </c>
      <c r="T80" s="32"/>
      <c r="U80" s="32">
        <f>Table_query__44[[#This Row],[Grant Received]]*0.9</f>
        <v>1131.57</v>
      </c>
      <c r="V80" s="32"/>
      <c r="W80" s="32">
        <f>Table_query__44[[#This Row],[Grant Received]]*0.8</f>
        <v>1005.84</v>
      </c>
      <c r="X80" s="32"/>
    </row>
    <row r="81" spans="1:24">
      <c r="A81" s="31" t="str">
        <f>LEFT(Table_query__44[[#This Row],[Title]],(FIND(" ",Table_query__44[[#This Row],[Title]],1)-1))</f>
        <v>CGCU</v>
      </c>
      <c r="B81" s="32" t="s">
        <v>367</v>
      </c>
      <c r="C81" s="32" t="s">
        <v>240</v>
      </c>
      <c r="D81" s="34">
        <v>1000</v>
      </c>
      <c r="E81" s="34">
        <v>0</v>
      </c>
      <c r="F81" s="32" t="s">
        <v>367</v>
      </c>
      <c r="G81" s="34">
        <v>32650</v>
      </c>
      <c r="H81" s="34">
        <v>48500</v>
      </c>
      <c r="I81" s="34">
        <v>0</v>
      </c>
      <c r="J81" s="34"/>
      <c r="K81" s="36"/>
      <c r="L81" s="32" t="s">
        <v>361</v>
      </c>
      <c r="M81" s="32"/>
      <c r="N81" s="32" t="s">
        <v>359</v>
      </c>
      <c r="O81" s="33">
        <v>43890.592962962961</v>
      </c>
      <c r="P81" s="32" t="s">
        <v>358</v>
      </c>
      <c r="Q81" s="32" t="s">
        <v>357</v>
      </c>
      <c r="R81" s="32"/>
      <c r="S81" s="32">
        <f>Table_query__44[[#This Row],[Grant Received]]*0.95</f>
        <v>0</v>
      </c>
      <c r="T81" s="32"/>
      <c r="U81" s="32">
        <f>Table_query__44[[#This Row],[Grant Received]]*0.9</f>
        <v>0</v>
      </c>
      <c r="V81" s="32"/>
      <c r="W81" s="32">
        <f>Table_query__44[[#This Row],[Grant Received]]*0.8</f>
        <v>0</v>
      </c>
      <c r="X81" s="32"/>
    </row>
    <row r="82" spans="1:24">
      <c r="A82" s="31" t="str">
        <f>LEFT(Table_query__44[[#This Row],[Title]],(FIND(" ",Table_query__44[[#This Row],[Title]],1)-1))</f>
        <v>CGCU</v>
      </c>
      <c r="B82" s="32" t="s">
        <v>367</v>
      </c>
      <c r="C82" s="32" t="s">
        <v>239</v>
      </c>
      <c r="D82" s="34">
        <v>60</v>
      </c>
      <c r="E82" s="34">
        <v>5.75</v>
      </c>
      <c r="F82" s="32" t="s">
        <v>367</v>
      </c>
      <c r="G82" s="34">
        <v>338</v>
      </c>
      <c r="H82" s="34">
        <v>0</v>
      </c>
      <c r="I82" s="34">
        <v>0</v>
      </c>
      <c r="J82" s="34"/>
      <c r="K82" s="36"/>
      <c r="L82" s="32" t="s">
        <v>361</v>
      </c>
      <c r="M82" s="32"/>
      <c r="N82" s="32" t="s">
        <v>359</v>
      </c>
      <c r="O82" s="33">
        <v>43890.593287037038</v>
      </c>
      <c r="P82" s="32" t="s">
        <v>358</v>
      </c>
      <c r="Q82" s="32" t="s">
        <v>357</v>
      </c>
      <c r="R82" s="32"/>
      <c r="S82" s="32">
        <f>Table_query__44[[#This Row],[Grant Received]]*0.95</f>
        <v>0</v>
      </c>
      <c r="T82" s="32"/>
      <c r="U82" s="32">
        <f>Table_query__44[[#This Row],[Grant Received]]*0.9</f>
        <v>0</v>
      </c>
      <c r="V82" s="32"/>
      <c r="W82" s="32">
        <f>Table_query__44[[#This Row],[Grant Received]]*0.8</f>
        <v>0</v>
      </c>
      <c r="X82" s="32"/>
    </row>
    <row r="83" spans="1:24">
      <c r="A83" s="31" t="str">
        <f>LEFT(Table_query__44[[#This Row],[Title]],(FIND(" ",Table_query__44[[#This Row],[Title]],1)-1))</f>
        <v>CGCU</v>
      </c>
      <c r="B83" s="32" t="s">
        <v>367</v>
      </c>
      <c r="C83" s="32" t="s">
        <v>238</v>
      </c>
      <c r="D83" s="34">
        <v>6500</v>
      </c>
      <c r="E83" s="34"/>
      <c r="F83" s="32" t="s">
        <v>367</v>
      </c>
      <c r="G83" s="34">
        <v>27299</v>
      </c>
      <c r="H83" s="34">
        <v>26325</v>
      </c>
      <c r="I83" s="34">
        <v>3187</v>
      </c>
      <c r="J83" s="34">
        <v>3187</v>
      </c>
      <c r="K83" s="36">
        <v>3187</v>
      </c>
      <c r="L83" s="32" t="s">
        <v>361</v>
      </c>
      <c r="M83" s="32" t="s">
        <v>360</v>
      </c>
      <c r="N83" s="32" t="s">
        <v>359</v>
      </c>
      <c r="O83" s="33">
        <v>43895.694178240738</v>
      </c>
      <c r="P83" s="32" t="s">
        <v>358</v>
      </c>
      <c r="Q83" s="32" t="s">
        <v>357</v>
      </c>
      <c r="R83" s="32"/>
      <c r="S83" s="32">
        <f>Table_query__44[[#This Row],[Grant Received]]*0.95</f>
        <v>3027.6499999999996</v>
      </c>
      <c r="T83" s="32"/>
      <c r="U83" s="32">
        <f>Table_query__44[[#This Row],[Grant Received]]*0.9</f>
        <v>2868.3</v>
      </c>
      <c r="V83" s="32"/>
      <c r="W83" s="32">
        <f>Table_query__44[[#This Row],[Grant Received]]*0.8</f>
        <v>2549.6000000000004</v>
      </c>
      <c r="X83" s="32"/>
    </row>
    <row r="84" spans="1:24">
      <c r="A84" s="31" t="str">
        <f>LEFT(Table_query__44[[#This Row],[Title]],(FIND(" ",Table_query__44[[#This Row],[Title]],1)-1))</f>
        <v>CGCU</v>
      </c>
      <c r="B84" s="32" t="s">
        <v>367</v>
      </c>
      <c r="C84" s="32" t="s">
        <v>237</v>
      </c>
      <c r="D84" s="34">
        <v>1000</v>
      </c>
      <c r="E84" s="34">
        <v>0</v>
      </c>
      <c r="F84" s="32" t="s">
        <v>367</v>
      </c>
      <c r="G84" s="34">
        <v>33552</v>
      </c>
      <c r="H84" s="34">
        <v>33935</v>
      </c>
      <c r="I84" s="34">
        <v>0</v>
      </c>
      <c r="J84" s="34"/>
      <c r="K84" s="36"/>
      <c r="L84" s="32" t="s">
        <v>361</v>
      </c>
      <c r="M84" s="32"/>
      <c r="N84" s="32" t="s">
        <v>359</v>
      </c>
      <c r="O84" s="33">
        <v>43890.593414351853</v>
      </c>
      <c r="P84" s="32" t="s">
        <v>358</v>
      </c>
      <c r="Q84" s="32" t="s">
        <v>357</v>
      </c>
      <c r="R84" s="32"/>
      <c r="S84" s="32">
        <f>Table_query__44[[#This Row],[Grant Received]]*0.95</f>
        <v>0</v>
      </c>
      <c r="T84" s="32"/>
      <c r="U84" s="32">
        <f>Table_query__44[[#This Row],[Grant Received]]*0.9</f>
        <v>0</v>
      </c>
      <c r="V84" s="32"/>
      <c r="W84" s="32">
        <f>Table_query__44[[#This Row],[Grant Received]]*0.8</f>
        <v>0</v>
      </c>
      <c r="X84" s="32"/>
    </row>
    <row r="85" spans="1:24">
      <c r="A85" s="31" t="str">
        <f>LEFT(Table_query__44[[#This Row],[Title]],(FIND(" ",Table_query__44[[#This Row],[Title]],1)-1))</f>
        <v>CGCU</v>
      </c>
      <c r="B85" s="32" t="s">
        <v>367</v>
      </c>
      <c r="C85" s="32" t="s">
        <v>236</v>
      </c>
      <c r="D85" s="34">
        <v>80</v>
      </c>
      <c r="E85" s="34">
        <v>25</v>
      </c>
      <c r="F85" s="32" t="s">
        <v>367</v>
      </c>
      <c r="G85" s="34">
        <v>29865</v>
      </c>
      <c r="H85" s="34">
        <v>15470</v>
      </c>
      <c r="I85" s="34">
        <v>12403</v>
      </c>
      <c r="J85" s="34">
        <v>11713</v>
      </c>
      <c r="K85" s="36">
        <v>9812.3616249999995</v>
      </c>
      <c r="L85" s="32" t="s">
        <v>361</v>
      </c>
      <c r="M85" s="32"/>
      <c r="N85" s="32" t="s">
        <v>359</v>
      </c>
      <c r="O85" s="33">
        <v>43901.535381944443</v>
      </c>
      <c r="P85" s="32" t="s">
        <v>358</v>
      </c>
      <c r="Q85" s="32" t="s">
        <v>357</v>
      </c>
      <c r="R85" s="32"/>
      <c r="S85" s="32">
        <f>Table_query__44[[#This Row],[Grant Received]]*0.95</f>
        <v>9321.7435437499989</v>
      </c>
      <c r="T85" s="32"/>
      <c r="U85" s="32">
        <f>Table_query__44[[#This Row],[Grant Received]]*0.9</f>
        <v>8831.1254625000001</v>
      </c>
      <c r="V85" s="32"/>
      <c r="W85" s="32">
        <f>Table_query__44[[#This Row],[Grant Received]]*0.8</f>
        <v>7849.8892999999998</v>
      </c>
      <c r="X85" s="32"/>
    </row>
    <row r="86" spans="1:24">
      <c r="A86" s="31" t="str">
        <f>LEFT(Table_query__44[[#This Row],[Title]],(FIND(" ",Table_query__44[[#This Row],[Title]],1)-1))</f>
        <v>CGCU</v>
      </c>
      <c r="B86" s="32" t="s">
        <v>367</v>
      </c>
      <c r="C86" s="32" t="s">
        <v>235</v>
      </c>
      <c r="D86" s="34">
        <v>60</v>
      </c>
      <c r="E86" s="34">
        <v>10</v>
      </c>
      <c r="F86" s="32" t="s">
        <v>367</v>
      </c>
      <c r="G86" s="34">
        <v>36484.999991839999</v>
      </c>
      <c r="H86" s="34">
        <v>27750</v>
      </c>
      <c r="I86" s="34">
        <v>9125</v>
      </c>
      <c r="J86" s="34">
        <v>3525</v>
      </c>
      <c r="K86" s="36">
        <v>1322.75</v>
      </c>
      <c r="L86" s="32" t="s">
        <v>361</v>
      </c>
      <c r="M86" s="32"/>
      <c r="N86" s="32" t="s">
        <v>359</v>
      </c>
      <c r="O86" s="33">
        <v>43896.856770833336</v>
      </c>
      <c r="P86" s="32" t="s">
        <v>358</v>
      </c>
      <c r="Q86" s="32" t="s">
        <v>357</v>
      </c>
      <c r="R86" s="32"/>
      <c r="S86" s="32">
        <f>Table_query__44[[#This Row],[Grant Received]]*0.95</f>
        <v>1256.6125</v>
      </c>
      <c r="T86" s="32"/>
      <c r="U86" s="32">
        <f>Table_query__44[[#This Row],[Grant Received]]*0.9</f>
        <v>1190.4750000000001</v>
      </c>
      <c r="V86" s="32"/>
      <c r="W86" s="32">
        <f>Table_query__44[[#This Row],[Grant Received]]*0.8</f>
        <v>1058.2</v>
      </c>
      <c r="X86" s="32"/>
    </row>
    <row r="87" spans="1:24">
      <c r="A87" s="31" t="str">
        <f>LEFT(Table_query__44[[#This Row],[Title]],(FIND(" ",Table_query__44[[#This Row],[Title]],1)-1))</f>
        <v>CGCU</v>
      </c>
      <c r="B87" s="32" t="s">
        <v>367</v>
      </c>
      <c r="C87" s="32" t="s">
        <v>464</v>
      </c>
      <c r="D87" s="34">
        <v>30</v>
      </c>
      <c r="E87" s="34">
        <v>5</v>
      </c>
      <c r="F87" s="32" t="s">
        <v>367</v>
      </c>
      <c r="G87" s="34">
        <v>1453</v>
      </c>
      <c r="H87" s="34">
        <v>960</v>
      </c>
      <c r="I87" s="34">
        <v>350</v>
      </c>
      <c r="J87" s="34">
        <v>325</v>
      </c>
      <c r="K87" s="36">
        <v>325</v>
      </c>
      <c r="L87" s="32" t="s">
        <v>361</v>
      </c>
      <c r="M87" s="32"/>
      <c r="N87" s="32" t="s">
        <v>359</v>
      </c>
      <c r="O87" s="33">
        <v>43890.62226851852</v>
      </c>
      <c r="P87" s="32" t="s">
        <v>358</v>
      </c>
      <c r="Q87" s="32" t="s">
        <v>357</v>
      </c>
      <c r="R87" s="32"/>
      <c r="S87" s="32">
        <f>Table_query__44[[#This Row],[Grant Received]]*0.95</f>
        <v>308.75</v>
      </c>
      <c r="T87" s="32"/>
      <c r="U87" s="32">
        <f>Table_query__44[[#This Row],[Grant Received]]*0.9</f>
        <v>292.5</v>
      </c>
      <c r="V87" s="32"/>
      <c r="W87" s="32">
        <f>Table_query__44[[#This Row],[Grant Received]]*0.8</f>
        <v>260</v>
      </c>
      <c r="X87" s="32"/>
    </row>
    <row r="88" spans="1:24">
      <c r="A88" s="31" t="str">
        <f>LEFT(Table_query__44[[#This Row],[Title]],(FIND(" ",Table_query__44[[#This Row],[Title]],1)-1))</f>
        <v>CGCU</v>
      </c>
      <c r="B88" s="32" t="s">
        <v>367</v>
      </c>
      <c r="C88" s="32" t="s">
        <v>233</v>
      </c>
      <c r="D88" s="34">
        <v>300</v>
      </c>
      <c r="E88" s="34">
        <v>5</v>
      </c>
      <c r="F88" s="32" t="s">
        <v>367</v>
      </c>
      <c r="G88" s="34">
        <v>9463.0400000000009</v>
      </c>
      <c r="H88" s="34">
        <v>7184</v>
      </c>
      <c r="I88" s="34">
        <v>1900</v>
      </c>
      <c r="J88" s="34">
        <v>1855</v>
      </c>
      <c r="K88" s="36">
        <v>900.99995699999999</v>
      </c>
      <c r="L88" s="32" t="s">
        <v>361</v>
      </c>
      <c r="M88" s="32"/>
      <c r="N88" s="32" t="s">
        <v>359</v>
      </c>
      <c r="O88" s="33">
        <v>43962.473807870374</v>
      </c>
      <c r="P88" s="32" t="s">
        <v>358</v>
      </c>
      <c r="Q88" s="32" t="s">
        <v>357</v>
      </c>
      <c r="R88" s="32"/>
      <c r="S88" s="32">
        <f>Table_query__44[[#This Row],[Grant Received]]*0.95</f>
        <v>855.94995914999993</v>
      </c>
      <c r="T88" s="32"/>
      <c r="U88" s="32">
        <f>Table_query__44[[#This Row],[Grant Received]]*0.9</f>
        <v>810.89996129999997</v>
      </c>
      <c r="V88" s="32"/>
      <c r="W88" s="32">
        <f>Table_query__44[[#This Row],[Grant Received]]*0.8</f>
        <v>720.79996560000006</v>
      </c>
      <c r="X88" s="32"/>
    </row>
    <row r="89" spans="1:24">
      <c r="A89" s="31" t="str">
        <f>LEFT(Table_query__44[[#This Row],[Title]],(FIND(" ",Table_query__44[[#This Row],[Title]],1)-1))</f>
        <v>CGCU</v>
      </c>
      <c r="B89" s="32" t="s">
        <v>367</v>
      </c>
      <c r="C89" s="32" t="s">
        <v>232</v>
      </c>
      <c r="D89" s="34"/>
      <c r="E89" s="34"/>
      <c r="F89" s="32" t="s">
        <v>367</v>
      </c>
      <c r="G89" s="34"/>
      <c r="H89" s="34"/>
      <c r="I89" s="34"/>
      <c r="J89" s="34"/>
      <c r="K89" s="36"/>
      <c r="L89" s="32" t="s">
        <v>361</v>
      </c>
      <c r="M89" s="32"/>
      <c r="N89" s="32" t="s">
        <v>359</v>
      </c>
      <c r="O89" s="33">
        <v>43890.622708333336</v>
      </c>
      <c r="P89" s="32" t="s">
        <v>358</v>
      </c>
      <c r="Q89" s="32" t="s">
        <v>357</v>
      </c>
      <c r="R89" s="32"/>
      <c r="S89" s="32">
        <f>Table_query__44[[#This Row],[Grant Received]]*0.95</f>
        <v>0</v>
      </c>
      <c r="T89" s="32"/>
      <c r="U89" s="32">
        <f>Table_query__44[[#This Row],[Grant Received]]*0.9</f>
        <v>0</v>
      </c>
      <c r="V89" s="32"/>
      <c r="W89" s="32">
        <f>Table_query__44[[#This Row],[Grant Received]]*0.8</f>
        <v>0</v>
      </c>
      <c r="X89" s="32"/>
    </row>
    <row r="90" spans="1:24">
      <c r="A90" s="31" t="str">
        <f>LEFT(Table_query__44[[#This Row],[Title]],(FIND(" ",Table_query__44[[#This Row],[Title]],1)-1))</f>
        <v>CGCU</v>
      </c>
      <c r="B90" s="32" t="s">
        <v>367</v>
      </c>
      <c r="C90" s="32" t="s">
        <v>231</v>
      </c>
      <c r="D90" s="34">
        <v>75</v>
      </c>
      <c r="E90" s="34">
        <v>5</v>
      </c>
      <c r="F90" s="32" t="s">
        <v>367</v>
      </c>
      <c r="G90" s="34">
        <v>3439.5</v>
      </c>
      <c r="H90" s="34">
        <v>1100</v>
      </c>
      <c r="I90" s="34">
        <v>1520</v>
      </c>
      <c r="J90" s="34">
        <v>1520</v>
      </c>
      <c r="K90" s="36">
        <v>1070.4960000000001</v>
      </c>
      <c r="L90" s="32" t="s">
        <v>361</v>
      </c>
      <c r="M90" s="32"/>
      <c r="N90" s="32" t="s">
        <v>359</v>
      </c>
      <c r="O90" s="33">
        <v>43901.535601851851</v>
      </c>
      <c r="P90" s="32" t="s">
        <v>358</v>
      </c>
      <c r="Q90" s="32" t="s">
        <v>357</v>
      </c>
      <c r="R90" s="32"/>
      <c r="S90" s="32">
        <f>Table_query__44[[#This Row],[Grant Received]]*0.95</f>
        <v>1016.9712000000001</v>
      </c>
      <c r="T90" s="32"/>
      <c r="U90" s="32">
        <f>Table_query__44[[#This Row],[Grant Received]]*0.9</f>
        <v>963.44640000000015</v>
      </c>
      <c r="V90" s="32"/>
      <c r="W90" s="32">
        <f>Table_query__44[[#This Row],[Grant Received]]*0.8</f>
        <v>856.3968000000001</v>
      </c>
      <c r="X90" s="32"/>
    </row>
    <row r="91" spans="1:24">
      <c r="A91" s="31" t="str">
        <f>LEFT(Table_query__44[[#This Row],[Title]],(FIND(" ",Table_query__44[[#This Row],[Title]],1)-1))</f>
        <v>CTA</v>
      </c>
      <c r="B91" s="32" t="s">
        <v>456</v>
      </c>
      <c r="C91" s="32" t="s">
        <v>463</v>
      </c>
      <c r="D91" s="34">
        <v>250</v>
      </c>
      <c r="E91" s="34">
        <v>5</v>
      </c>
      <c r="F91" s="32" t="s">
        <v>456</v>
      </c>
      <c r="G91" s="34">
        <v>6601.35</v>
      </c>
      <c r="H91" s="34">
        <v>4583</v>
      </c>
      <c r="I91" s="34">
        <v>1236.53</v>
      </c>
      <c r="J91" s="34">
        <v>737.88</v>
      </c>
      <c r="K91" s="36">
        <v>203.433516</v>
      </c>
      <c r="L91" s="32" t="s">
        <v>361</v>
      </c>
      <c r="M91" s="32"/>
      <c r="N91" s="32" t="s">
        <v>359</v>
      </c>
      <c r="O91" s="33">
        <v>43901.536296296297</v>
      </c>
      <c r="P91" s="32" t="s">
        <v>358</v>
      </c>
      <c r="Q91" s="32" t="s">
        <v>357</v>
      </c>
      <c r="R91" s="32"/>
      <c r="S91" s="32">
        <f>Table_query__44[[#This Row],[Grant Received]]*0.95</f>
        <v>193.26184019999999</v>
      </c>
      <c r="T91" s="32"/>
      <c r="U91" s="32">
        <f>Table_query__44[[#This Row],[Grant Received]]*0.9</f>
        <v>183.09016439999999</v>
      </c>
      <c r="V91" s="32"/>
      <c r="W91" s="32">
        <f>Table_query__44[[#This Row],[Grant Received]]*0.8</f>
        <v>162.74681280000001</v>
      </c>
      <c r="X91" s="32"/>
    </row>
    <row r="92" spans="1:24">
      <c r="A92" s="31" t="str">
        <f>LEFT(Table_query__44[[#This Row],[Title]],(FIND(" ",Table_query__44[[#This Row],[Title]],1)-1))</f>
        <v>CTA</v>
      </c>
      <c r="B92" s="32" t="s">
        <v>456</v>
      </c>
      <c r="C92" s="32" t="s">
        <v>462</v>
      </c>
      <c r="D92" s="34">
        <v>40</v>
      </c>
      <c r="E92" s="34">
        <v>2.4</v>
      </c>
      <c r="F92" s="32" t="s">
        <v>456</v>
      </c>
      <c r="G92" s="34">
        <v>1204.5</v>
      </c>
      <c r="H92" s="34">
        <v>945</v>
      </c>
      <c r="I92" s="34">
        <v>164.5</v>
      </c>
      <c r="J92" s="34">
        <v>37</v>
      </c>
      <c r="K92" s="36">
        <v>37</v>
      </c>
      <c r="L92" s="32" t="s">
        <v>361</v>
      </c>
      <c r="M92" s="32"/>
      <c r="N92" s="32" t="s">
        <v>359</v>
      </c>
      <c r="O92" s="33">
        <v>43895.694004629629</v>
      </c>
      <c r="P92" s="32" t="s">
        <v>358</v>
      </c>
      <c r="Q92" s="32" t="s">
        <v>357</v>
      </c>
      <c r="R92" s="32"/>
      <c r="S92" s="32">
        <f>Table_query__44[[#This Row],[Grant Received]]*0.95</f>
        <v>35.15</v>
      </c>
      <c r="T92" s="32"/>
      <c r="U92" s="32">
        <f>Table_query__44[[#This Row],[Grant Received]]*0.9</f>
        <v>33.300000000000004</v>
      </c>
      <c r="V92" s="32"/>
      <c r="W92" s="32">
        <f>Table_query__44[[#This Row],[Grant Received]]*0.8</f>
        <v>29.6</v>
      </c>
      <c r="X92" s="32"/>
    </row>
    <row r="93" spans="1:24">
      <c r="A93" s="31" t="str">
        <f>LEFT(Table_query__44[[#This Row],[Title]],(FIND(" ",Table_query__44[[#This Row],[Title]],1)-1))</f>
        <v>CTA</v>
      </c>
      <c r="B93" s="32" t="s">
        <v>456</v>
      </c>
      <c r="C93" s="32" t="s">
        <v>461</v>
      </c>
      <c r="D93" s="34"/>
      <c r="E93" s="34"/>
      <c r="F93" s="32" t="s">
        <v>456</v>
      </c>
      <c r="G93" s="34"/>
      <c r="H93" s="34"/>
      <c r="I93" s="34"/>
      <c r="J93" s="34"/>
      <c r="K93" s="36"/>
      <c r="L93" s="32" t="s">
        <v>361</v>
      </c>
      <c r="M93" s="32"/>
      <c r="N93" s="32" t="s">
        <v>359</v>
      </c>
      <c r="O93" s="33">
        <v>43890.738564814812</v>
      </c>
      <c r="P93" s="32" t="s">
        <v>358</v>
      </c>
      <c r="Q93" s="32" t="s">
        <v>357</v>
      </c>
      <c r="R93" s="32"/>
      <c r="S93" s="32">
        <f>Table_query__44[[#This Row],[Grant Received]]*0.95</f>
        <v>0</v>
      </c>
      <c r="T93" s="32"/>
      <c r="U93" s="32">
        <f>Table_query__44[[#This Row],[Grant Received]]*0.9</f>
        <v>0</v>
      </c>
      <c r="V93" s="32"/>
      <c r="W93" s="32">
        <f>Table_query__44[[#This Row],[Grant Received]]*0.8</f>
        <v>0</v>
      </c>
      <c r="X93" s="32"/>
    </row>
    <row r="94" spans="1:24">
      <c r="A94" s="31" t="str">
        <f>LEFT(Table_query__44[[#This Row],[Title]],(FIND(" ",Table_query__44[[#This Row],[Title]],1)-1))</f>
        <v>CTA</v>
      </c>
      <c r="B94" s="32" t="s">
        <v>456</v>
      </c>
      <c r="C94" s="32" t="s">
        <v>460</v>
      </c>
      <c r="D94" s="34">
        <v>120</v>
      </c>
      <c r="E94" s="34">
        <v>5</v>
      </c>
      <c r="F94" s="32" t="s">
        <v>456</v>
      </c>
      <c r="G94" s="34">
        <v>1793.94</v>
      </c>
      <c r="H94" s="34">
        <v>900</v>
      </c>
      <c r="I94" s="34">
        <v>893.94</v>
      </c>
      <c r="J94" s="34">
        <v>593.94000000000005</v>
      </c>
      <c r="K94" s="36">
        <v>296.97000000000003</v>
      </c>
      <c r="L94" s="32" t="s">
        <v>361</v>
      </c>
      <c r="M94" s="32"/>
      <c r="N94" s="32" t="s">
        <v>359</v>
      </c>
      <c r="O94" s="33">
        <v>43906.455208333333</v>
      </c>
      <c r="P94" s="32" t="s">
        <v>358</v>
      </c>
      <c r="Q94" s="32" t="s">
        <v>357</v>
      </c>
      <c r="R94" s="32"/>
      <c r="S94" s="32">
        <f>Table_query__44[[#This Row],[Grant Received]]*0.95</f>
        <v>282.12150000000003</v>
      </c>
      <c r="T94" s="32"/>
      <c r="U94" s="32">
        <f>Table_query__44[[#This Row],[Grant Received]]*0.9</f>
        <v>267.27300000000002</v>
      </c>
      <c r="V94" s="32"/>
      <c r="W94" s="32">
        <f>Table_query__44[[#This Row],[Grant Received]]*0.8</f>
        <v>237.57600000000002</v>
      </c>
      <c r="X94" s="32"/>
    </row>
    <row r="95" spans="1:24">
      <c r="A95" s="31" t="str">
        <f>LEFT(Table_query__44[[#This Row],[Title]],(FIND(" ",Table_query__44[[#This Row],[Title]],1)-1))</f>
        <v>CTA</v>
      </c>
      <c r="B95" s="32" t="s">
        <v>456</v>
      </c>
      <c r="C95" s="32" t="s">
        <v>230</v>
      </c>
      <c r="D95" s="34"/>
      <c r="E95" s="34"/>
      <c r="F95" s="32" t="s">
        <v>456</v>
      </c>
      <c r="G95" s="34"/>
      <c r="H95" s="34"/>
      <c r="I95" s="34"/>
      <c r="J95" s="34"/>
      <c r="K95" s="36"/>
      <c r="L95" s="32" t="s">
        <v>361</v>
      </c>
      <c r="M95" s="32"/>
      <c r="N95" s="32" t="s">
        <v>359</v>
      </c>
      <c r="O95" s="33">
        <v>43890.73877314815</v>
      </c>
      <c r="P95" s="32" t="s">
        <v>358</v>
      </c>
      <c r="Q95" s="32" t="s">
        <v>357</v>
      </c>
      <c r="R95" s="32"/>
      <c r="S95" s="32">
        <f>Table_query__44[[#This Row],[Grant Received]]*0.95</f>
        <v>0</v>
      </c>
      <c r="T95" s="32"/>
      <c r="U95" s="32">
        <f>Table_query__44[[#This Row],[Grant Received]]*0.9</f>
        <v>0</v>
      </c>
      <c r="V95" s="32"/>
      <c r="W95" s="32">
        <f>Table_query__44[[#This Row],[Grant Received]]*0.8</f>
        <v>0</v>
      </c>
      <c r="X95" s="32"/>
    </row>
    <row r="96" spans="1:24">
      <c r="A96" s="31" t="str">
        <f>LEFT(Table_query__44[[#This Row],[Title]],(FIND(" ",Table_query__44[[#This Row],[Title]],1)-1))</f>
        <v>CTA</v>
      </c>
      <c r="B96" s="32" t="s">
        <v>456</v>
      </c>
      <c r="C96" s="32" t="s">
        <v>229</v>
      </c>
      <c r="D96" s="34">
        <v>275</v>
      </c>
      <c r="E96" s="34">
        <v>4</v>
      </c>
      <c r="F96" s="32" t="s">
        <v>456</v>
      </c>
      <c r="G96" s="34">
        <v>25800</v>
      </c>
      <c r="H96" s="34">
        <v>26000</v>
      </c>
      <c r="I96" s="34">
        <v>2750</v>
      </c>
      <c r="J96" s="34">
        <v>2750</v>
      </c>
      <c r="K96" s="36">
        <v>650</v>
      </c>
      <c r="L96" s="32" t="s">
        <v>361</v>
      </c>
      <c r="M96" s="32"/>
      <c r="N96" s="32" t="s">
        <v>359</v>
      </c>
      <c r="O96" s="33">
        <v>43906.455324074072</v>
      </c>
      <c r="P96" s="32" t="s">
        <v>358</v>
      </c>
      <c r="Q96" s="32" t="s">
        <v>357</v>
      </c>
      <c r="R96" s="32"/>
      <c r="S96" s="32">
        <f>Table_query__44[[#This Row],[Grant Received]]*0.95</f>
        <v>617.5</v>
      </c>
      <c r="T96" s="32"/>
      <c r="U96" s="32">
        <f>Table_query__44[[#This Row],[Grant Received]]*0.9</f>
        <v>585</v>
      </c>
      <c r="V96" s="32"/>
      <c r="W96" s="32">
        <f>Table_query__44[[#This Row],[Grant Received]]*0.8</f>
        <v>520</v>
      </c>
      <c r="X96" s="32"/>
    </row>
    <row r="97" spans="1:24">
      <c r="A97" s="31" t="str">
        <f>LEFT(Table_query__44[[#This Row],[Title]],(FIND(" ",Table_query__44[[#This Row],[Title]],1)-1))</f>
        <v>CTA</v>
      </c>
      <c r="B97" s="32" t="s">
        <v>456</v>
      </c>
      <c r="C97" s="32" t="s">
        <v>228</v>
      </c>
      <c r="D97" s="34">
        <v>40</v>
      </c>
      <c r="E97" s="34">
        <v>5</v>
      </c>
      <c r="F97" s="32" t="s">
        <v>456</v>
      </c>
      <c r="G97" s="34">
        <v>7614.52</v>
      </c>
      <c r="H97" s="34">
        <v>6684</v>
      </c>
      <c r="I97" s="34">
        <v>750</v>
      </c>
      <c r="J97" s="34">
        <v>550</v>
      </c>
      <c r="K97" s="36">
        <v>448.99200000000002</v>
      </c>
      <c r="L97" s="32" t="s">
        <v>361</v>
      </c>
      <c r="M97" s="32"/>
      <c r="N97" s="32" t="s">
        <v>359</v>
      </c>
      <c r="O97" s="33">
        <v>43901.536886574075</v>
      </c>
      <c r="P97" s="32" t="s">
        <v>358</v>
      </c>
      <c r="Q97" s="32" t="s">
        <v>357</v>
      </c>
      <c r="R97" s="32"/>
      <c r="S97" s="32">
        <f>Table_query__44[[#This Row],[Grant Received]]*0.95</f>
        <v>426.54239999999999</v>
      </c>
      <c r="T97" s="32"/>
      <c r="U97" s="32">
        <f>Table_query__44[[#This Row],[Grant Received]]*0.9</f>
        <v>404.09280000000001</v>
      </c>
      <c r="V97" s="32"/>
      <c r="W97" s="32">
        <f>Table_query__44[[#This Row],[Grant Received]]*0.8</f>
        <v>359.19360000000006</v>
      </c>
      <c r="X97" s="32"/>
    </row>
    <row r="98" spans="1:24">
      <c r="A98" s="31" t="str">
        <f>LEFT(Table_query__44[[#This Row],[Title]],(FIND(" ",Table_query__44[[#This Row],[Title]],1)-1))</f>
        <v>CTA</v>
      </c>
      <c r="B98" s="32" t="s">
        <v>456</v>
      </c>
      <c r="C98" s="32" t="s">
        <v>459</v>
      </c>
      <c r="D98" s="34"/>
      <c r="E98" s="34"/>
      <c r="F98" s="32" t="s">
        <v>456</v>
      </c>
      <c r="G98" s="34"/>
      <c r="H98" s="34"/>
      <c r="I98" s="34"/>
      <c r="J98" s="34"/>
      <c r="K98" s="36"/>
      <c r="L98" s="32" t="s">
        <v>361</v>
      </c>
      <c r="M98" s="32"/>
      <c r="N98" s="32" t="s">
        <v>359</v>
      </c>
      <c r="O98" s="33">
        <v>43890.738912037035</v>
      </c>
      <c r="P98" s="32" t="s">
        <v>358</v>
      </c>
      <c r="Q98" s="32" t="s">
        <v>357</v>
      </c>
      <c r="R98" s="32"/>
      <c r="S98" s="32">
        <f>Table_query__44[[#This Row],[Grant Received]]*0.95</f>
        <v>0</v>
      </c>
      <c r="T98" s="32"/>
      <c r="U98" s="32">
        <f>Table_query__44[[#This Row],[Grant Received]]*0.9</f>
        <v>0</v>
      </c>
      <c r="V98" s="32"/>
      <c r="W98" s="32">
        <f>Table_query__44[[#This Row],[Grant Received]]*0.8</f>
        <v>0</v>
      </c>
      <c r="X98" s="32"/>
    </row>
    <row r="99" spans="1:24">
      <c r="A99" s="31" t="str">
        <f>LEFT(Table_query__44[[#This Row],[Title]],(FIND(" ",Table_query__44[[#This Row],[Title]],1)-1))</f>
        <v>CTA</v>
      </c>
      <c r="B99" s="32" t="s">
        <v>456</v>
      </c>
      <c r="C99" s="32" t="s">
        <v>227</v>
      </c>
      <c r="D99" s="34">
        <v>130</v>
      </c>
      <c r="E99" s="34">
        <v>7</v>
      </c>
      <c r="F99" s="32" t="s">
        <v>456</v>
      </c>
      <c r="G99" s="34">
        <v>3155</v>
      </c>
      <c r="H99" s="34">
        <v>3410</v>
      </c>
      <c r="I99" s="34">
        <v>1665</v>
      </c>
      <c r="J99" s="34">
        <v>535</v>
      </c>
      <c r="K99" s="36">
        <v>230</v>
      </c>
      <c r="L99" s="32" t="s">
        <v>361</v>
      </c>
      <c r="M99" s="32"/>
      <c r="N99" s="32" t="s">
        <v>359</v>
      </c>
      <c r="O99" s="33">
        <v>43906.455497685187</v>
      </c>
      <c r="P99" s="32" t="s">
        <v>358</v>
      </c>
      <c r="Q99" s="32" t="s">
        <v>357</v>
      </c>
      <c r="R99" s="32"/>
      <c r="S99" s="32">
        <f>Table_query__44[[#This Row],[Grant Received]]*0.95</f>
        <v>218.5</v>
      </c>
      <c r="T99" s="32"/>
      <c r="U99" s="32">
        <f>Table_query__44[[#This Row],[Grant Received]]*0.9</f>
        <v>207</v>
      </c>
      <c r="V99" s="32"/>
      <c r="W99" s="32">
        <f>Table_query__44[[#This Row],[Grant Received]]*0.8</f>
        <v>184</v>
      </c>
      <c r="X99" s="32"/>
    </row>
    <row r="100" spans="1:24">
      <c r="A100" s="31" t="str">
        <f>LEFT(Table_query__44[[#This Row],[Title]],(FIND(" ",Table_query__44[[#This Row],[Title]],1)-1))</f>
        <v>CTA</v>
      </c>
      <c r="B100" s="32" t="s">
        <v>456</v>
      </c>
      <c r="C100" s="32" t="s">
        <v>226</v>
      </c>
      <c r="D100" s="34"/>
      <c r="E100" s="34"/>
      <c r="F100" s="32" t="s">
        <v>456</v>
      </c>
      <c r="G100" s="34"/>
      <c r="H100" s="34"/>
      <c r="I100" s="34"/>
      <c r="J100" s="34"/>
      <c r="K100" s="36"/>
      <c r="L100" s="32" t="s">
        <v>361</v>
      </c>
      <c r="M100" s="32"/>
      <c r="N100" s="32" t="s">
        <v>359</v>
      </c>
      <c r="O100" s="33">
        <v>43890.739004629628</v>
      </c>
      <c r="P100" s="32" t="s">
        <v>358</v>
      </c>
      <c r="Q100" s="32" t="s">
        <v>357</v>
      </c>
      <c r="R100" s="32"/>
      <c r="S100" s="32">
        <f>Table_query__44[[#This Row],[Grant Received]]*0.95</f>
        <v>0</v>
      </c>
      <c r="T100" s="32"/>
      <c r="U100" s="32">
        <f>Table_query__44[[#This Row],[Grant Received]]*0.9</f>
        <v>0</v>
      </c>
      <c r="V100" s="32"/>
      <c r="W100" s="32">
        <f>Table_query__44[[#This Row],[Grant Received]]*0.8</f>
        <v>0</v>
      </c>
      <c r="X100" s="32"/>
    </row>
    <row r="101" spans="1:24">
      <c r="A101" s="31" t="str">
        <f>LEFT(Table_query__44[[#This Row],[Title]],(FIND(" ",Table_query__44[[#This Row],[Title]],1)-1))</f>
        <v>CTA</v>
      </c>
      <c r="B101" s="32" t="s">
        <v>456</v>
      </c>
      <c r="C101" s="32" t="s">
        <v>225</v>
      </c>
      <c r="D101" s="34">
        <v>240</v>
      </c>
      <c r="E101" s="34">
        <v>5</v>
      </c>
      <c r="F101" s="32" t="s">
        <v>456</v>
      </c>
      <c r="G101" s="34">
        <v>17690</v>
      </c>
      <c r="H101" s="34">
        <v>5690</v>
      </c>
      <c r="I101" s="34">
        <v>3350</v>
      </c>
      <c r="J101" s="34">
        <v>1650</v>
      </c>
      <c r="K101" s="36">
        <v>366.05900000000003</v>
      </c>
      <c r="L101" s="32" t="s">
        <v>361</v>
      </c>
      <c r="M101" s="32"/>
      <c r="N101" s="32" t="s">
        <v>359</v>
      </c>
      <c r="O101" s="33">
        <v>43901.537094907406</v>
      </c>
      <c r="P101" s="32" t="s">
        <v>358</v>
      </c>
      <c r="Q101" s="32" t="s">
        <v>357</v>
      </c>
      <c r="R101" s="32"/>
      <c r="S101" s="32">
        <f>Table_query__44[[#This Row],[Grant Received]]*0.95</f>
        <v>347.75605000000002</v>
      </c>
      <c r="T101" s="32"/>
      <c r="U101" s="32">
        <f>Table_query__44[[#This Row],[Grant Received]]*0.9</f>
        <v>329.45310000000001</v>
      </c>
      <c r="V101" s="32"/>
      <c r="W101" s="32">
        <f>Table_query__44[[#This Row],[Grant Received]]*0.8</f>
        <v>292.84720000000004</v>
      </c>
      <c r="X101" s="32"/>
    </row>
    <row r="102" spans="1:24">
      <c r="A102" s="31" t="str">
        <f>LEFT(Table_query__44[[#This Row],[Title]],(FIND(" ",Table_query__44[[#This Row],[Title]],1)-1))</f>
        <v>CTA</v>
      </c>
      <c r="B102" s="32" t="s">
        <v>456</v>
      </c>
      <c r="C102" s="32" t="s">
        <v>224</v>
      </c>
      <c r="D102" s="34">
        <v>120</v>
      </c>
      <c r="E102" s="34">
        <v>4.5</v>
      </c>
      <c r="F102" s="32" t="s">
        <v>456</v>
      </c>
      <c r="G102" s="34">
        <v>12205</v>
      </c>
      <c r="H102" s="34">
        <v>14655</v>
      </c>
      <c r="I102" s="34">
        <v>380</v>
      </c>
      <c r="J102" s="34">
        <v>200</v>
      </c>
      <c r="K102" s="36">
        <v>137.46</v>
      </c>
      <c r="L102" s="32" t="s">
        <v>361</v>
      </c>
      <c r="M102" s="32"/>
      <c r="N102" s="32" t="s">
        <v>359</v>
      </c>
      <c r="O102" s="33">
        <v>43901.537418981483</v>
      </c>
      <c r="P102" s="32" t="s">
        <v>358</v>
      </c>
      <c r="Q102" s="32" t="s">
        <v>357</v>
      </c>
      <c r="R102" s="32"/>
      <c r="S102" s="32">
        <f>Table_query__44[[#This Row],[Grant Received]]*0.95</f>
        <v>130.58699999999999</v>
      </c>
      <c r="T102" s="32"/>
      <c r="U102" s="32">
        <f>Table_query__44[[#This Row],[Grant Received]]*0.9</f>
        <v>123.71400000000001</v>
      </c>
      <c r="V102" s="32"/>
      <c r="W102" s="32">
        <f>Table_query__44[[#This Row],[Grant Received]]*0.8</f>
        <v>109.96800000000002</v>
      </c>
      <c r="X102" s="32"/>
    </row>
    <row r="103" spans="1:24">
      <c r="A103" s="31" t="str">
        <f>LEFT(Table_query__44[[#This Row],[Title]],(FIND(" ",Table_query__44[[#This Row],[Title]],1)-1))</f>
        <v>CTA</v>
      </c>
      <c r="B103" s="32" t="s">
        <v>456</v>
      </c>
      <c r="C103" s="32" t="s">
        <v>458</v>
      </c>
      <c r="D103" s="34"/>
      <c r="E103" s="34"/>
      <c r="F103" s="32" t="s">
        <v>456</v>
      </c>
      <c r="G103" s="34"/>
      <c r="H103" s="34"/>
      <c r="I103" s="34"/>
      <c r="J103" s="34"/>
      <c r="K103" s="36"/>
      <c r="L103" s="32" t="s">
        <v>361</v>
      </c>
      <c r="M103" s="32"/>
      <c r="N103" s="32" t="s">
        <v>359</v>
      </c>
      <c r="O103" s="33">
        <v>43890.739120370374</v>
      </c>
      <c r="P103" s="32" t="s">
        <v>358</v>
      </c>
      <c r="Q103" s="32" t="s">
        <v>357</v>
      </c>
      <c r="R103" s="32"/>
      <c r="S103" s="32">
        <f>Table_query__44[[#This Row],[Grant Received]]*0.95</f>
        <v>0</v>
      </c>
      <c r="T103" s="32"/>
      <c r="U103" s="32">
        <f>Table_query__44[[#This Row],[Grant Received]]*0.9</f>
        <v>0</v>
      </c>
      <c r="V103" s="32"/>
      <c r="W103" s="32">
        <f>Table_query__44[[#This Row],[Grant Received]]*0.8</f>
        <v>0</v>
      </c>
      <c r="X103" s="32"/>
    </row>
    <row r="104" spans="1:24">
      <c r="A104" s="31" t="str">
        <f>LEFT(Table_query__44[[#This Row],[Title]],(FIND(" ",Table_query__44[[#This Row],[Title]],1)-1))</f>
        <v>CTA</v>
      </c>
      <c r="B104" s="32" t="s">
        <v>456</v>
      </c>
      <c r="C104" s="32" t="s">
        <v>223</v>
      </c>
      <c r="D104" s="34">
        <v>180</v>
      </c>
      <c r="E104" s="34">
        <v>5</v>
      </c>
      <c r="F104" s="32" t="s">
        <v>456</v>
      </c>
      <c r="G104" s="34">
        <v>15319.84</v>
      </c>
      <c r="H104" s="34">
        <v>13600</v>
      </c>
      <c r="I104" s="34">
        <v>788</v>
      </c>
      <c r="J104" s="34">
        <v>489</v>
      </c>
      <c r="K104" s="36">
        <v>240.74719999999999</v>
      </c>
      <c r="L104" s="32" t="s">
        <v>361</v>
      </c>
      <c r="M104" s="32"/>
      <c r="N104" s="32" t="s">
        <v>359</v>
      </c>
      <c r="O104" s="33">
        <v>43901.537685185183</v>
      </c>
      <c r="P104" s="32" t="s">
        <v>358</v>
      </c>
      <c r="Q104" s="32" t="s">
        <v>357</v>
      </c>
      <c r="R104" s="32"/>
      <c r="S104" s="32">
        <f>Table_query__44[[#This Row],[Grant Received]]*0.95</f>
        <v>228.70983999999999</v>
      </c>
      <c r="T104" s="32"/>
      <c r="U104" s="32">
        <f>Table_query__44[[#This Row],[Grant Received]]*0.9</f>
        <v>216.67248000000001</v>
      </c>
      <c r="V104" s="32"/>
      <c r="W104" s="32">
        <f>Table_query__44[[#This Row],[Grant Received]]*0.8</f>
        <v>192.59775999999999</v>
      </c>
      <c r="X104" s="32"/>
    </row>
    <row r="105" spans="1:24">
      <c r="A105" s="31" t="str">
        <f>LEFT(Table_query__44[[#This Row],[Title]],(FIND(" ",Table_query__44[[#This Row],[Title]],1)-1))</f>
        <v>CTA</v>
      </c>
      <c r="B105" s="32" t="s">
        <v>456</v>
      </c>
      <c r="C105" s="32" t="s">
        <v>222</v>
      </c>
      <c r="D105" s="34">
        <v>25</v>
      </c>
      <c r="E105" s="34">
        <v>4</v>
      </c>
      <c r="F105" s="32" t="s">
        <v>456</v>
      </c>
      <c r="G105" s="34">
        <v>44457</v>
      </c>
      <c r="H105" s="34">
        <v>45000</v>
      </c>
      <c r="I105" s="34">
        <v>1225</v>
      </c>
      <c r="J105" s="34">
        <v>1000</v>
      </c>
      <c r="K105" s="36">
        <v>93.2</v>
      </c>
      <c r="L105" s="32" t="s">
        <v>361</v>
      </c>
      <c r="M105" s="32"/>
      <c r="N105" s="32" t="s">
        <v>359</v>
      </c>
      <c r="O105" s="33">
        <v>43901.537800925929</v>
      </c>
      <c r="P105" s="32" t="s">
        <v>358</v>
      </c>
      <c r="Q105" s="32" t="s">
        <v>357</v>
      </c>
      <c r="R105" s="32"/>
      <c r="S105" s="32">
        <f>Table_query__44[[#This Row],[Grant Received]]*0.95</f>
        <v>88.539999999999992</v>
      </c>
      <c r="T105" s="32"/>
      <c r="U105" s="32">
        <f>Table_query__44[[#This Row],[Grant Received]]*0.9</f>
        <v>83.88000000000001</v>
      </c>
      <c r="V105" s="32"/>
      <c r="W105" s="32">
        <f>Table_query__44[[#This Row],[Grant Received]]*0.8</f>
        <v>74.56</v>
      </c>
      <c r="X105" s="32"/>
    </row>
    <row r="106" spans="1:24">
      <c r="A106" s="31" t="str">
        <f>LEFT(Table_query__44[[#This Row],[Title]],(FIND(" ",Table_query__44[[#This Row],[Title]],1)-1))</f>
        <v>CTA</v>
      </c>
      <c r="B106" s="32" t="s">
        <v>456</v>
      </c>
      <c r="C106" s="32" t="s">
        <v>221</v>
      </c>
      <c r="D106" s="34">
        <v>120</v>
      </c>
      <c r="E106" s="34">
        <v>0</v>
      </c>
      <c r="F106" s="32" t="s">
        <v>456</v>
      </c>
      <c r="G106" s="34">
        <v>1997.85</v>
      </c>
      <c r="H106" s="34">
        <v>1929.2</v>
      </c>
      <c r="I106" s="34">
        <v>301.89999999999998</v>
      </c>
      <c r="J106" s="34">
        <v>100</v>
      </c>
      <c r="K106" s="36">
        <v>50</v>
      </c>
      <c r="L106" s="32" t="s">
        <v>361</v>
      </c>
      <c r="M106" s="32"/>
      <c r="N106" s="32" t="s">
        <v>359</v>
      </c>
      <c r="O106" s="33">
        <v>43906.455625000002</v>
      </c>
      <c r="P106" s="32" t="s">
        <v>358</v>
      </c>
      <c r="Q106" s="32" t="s">
        <v>357</v>
      </c>
      <c r="R106" s="32"/>
      <c r="S106" s="32">
        <f>Table_query__44[[#This Row],[Grant Received]]*0.95</f>
        <v>47.5</v>
      </c>
      <c r="T106" s="32"/>
      <c r="U106" s="32">
        <f>Table_query__44[[#This Row],[Grant Received]]*0.9</f>
        <v>45</v>
      </c>
      <c r="V106" s="32"/>
      <c r="W106" s="32">
        <f>Table_query__44[[#This Row],[Grant Received]]*0.8</f>
        <v>40</v>
      </c>
      <c r="X106" s="32"/>
    </row>
    <row r="107" spans="1:24">
      <c r="A107" s="31" t="str">
        <f>LEFT(Table_query__44[[#This Row],[Title]],(FIND(" ",Table_query__44[[#This Row],[Title]],1)-1))</f>
        <v>CTA</v>
      </c>
      <c r="B107" s="32" t="s">
        <v>456</v>
      </c>
      <c r="C107" s="32" t="s">
        <v>220</v>
      </c>
      <c r="D107" s="34"/>
      <c r="E107" s="34"/>
      <c r="F107" s="32" t="s">
        <v>456</v>
      </c>
      <c r="G107" s="34"/>
      <c r="H107" s="34"/>
      <c r="I107" s="34"/>
      <c r="J107" s="34"/>
      <c r="K107" s="36"/>
      <c r="L107" s="32" t="s">
        <v>361</v>
      </c>
      <c r="M107" s="32"/>
      <c r="N107" s="32" t="s">
        <v>359</v>
      </c>
      <c r="O107" s="33">
        <v>43890.739247685182</v>
      </c>
      <c r="P107" s="32" t="s">
        <v>358</v>
      </c>
      <c r="Q107" s="32" t="s">
        <v>357</v>
      </c>
      <c r="R107" s="32"/>
      <c r="S107" s="32">
        <f>Table_query__44[[#This Row],[Grant Received]]*0.95</f>
        <v>0</v>
      </c>
      <c r="T107" s="32"/>
      <c r="U107" s="32">
        <f>Table_query__44[[#This Row],[Grant Received]]*0.9</f>
        <v>0</v>
      </c>
      <c r="V107" s="32"/>
      <c r="W107" s="32">
        <f>Table_query__44[[#This Row],[Grant Received]]*0.8</f>
        <v>0</v>
      </c>
      <c r="X107" s="32"/>
    </row>
    <row r="108" spans="1:24">
      <c r="A108" s="31" t="str">
        <f>LEFT(Table_query__44[[#This Row],[Title]],(FIND(" ",Table_query__44[[#This Row],[Title]],1)-1))</f>
        <v>CTA</v>
      </c>
      <c r="B108" s="32" t="s">
        <v>456</v>
      </c>
      <c r="C108" s="32" t="s">
        <v>457</v>
      </c>
      <c r="D108" s="34"/>
      <c r="E108" s="34"/>
      <c r="F108" s="32" t="s">
        <v>456</v>
      </c>
      <c r="G108" s="34"/>
      <c r="H108" s="34"/>
      <c r="I108" s="34"/>
      <c r="J108" s="34"/>
      <c r="K108" s="36"/>
      <c r="L108" s="32" t="s">
        <v>361</v>
      </c>
      <c r="M108" s="32"/>
      <c r="N108" s="32" t="s">
        <v>359</v>
      </c>
      <c r="O108" s="33">
        <v>43890.739340277774</v>
      </c>
      <c r="P108" s="32" t="s">
        <v>358</v>
      </c>
      <c r="Q108" s="32" t="s">
        <v>357</v>
      </c>
      <c r="R108" s="32"/>
      <c r="S108" s="32">
        <f>Table_query__44[[#This Row],[Grant Received]]*0.95</f>
        <v>0</v>
      </c>
      <c r="T108" s="32"/>
      <c r="U108" s="32">
        <f>Table_query__44[[#This Row],[Grant Received]]*0.9</f>
        <v>0</v>
      </c>
      <c r="V108" s="32"/>
      <c r="W108" s="32">
        <f>Table_query__44[[#This Row],[Grant Received]]*0.8</f>
        <v>0</v>
      </c>
      <c r="X108" s="32"/>
    </row>
    <row r="109" spans="1:24">
      <c r="A109" s="31" t="str">
        <f>LEFT(Table_query__44[[#This Row],[Title]],(FIND(" ",Table_query__44[[#This Row],[Title]],1)-1))</f>
        <v>CTM</v>
      </c>
      <c r="B109" s="32" t="s">
        <v>451</v>
      </c>
      <c r="C109" s="32" t="s">
        <v>219</v>
      </c>
      <c r="D109" s="34"/>
      <c r="E109" s="34"/>
      <c r="F109" s="32" t="s">
        <v>451</v>
      </c>
      <c r="G109" s="34"/>
      <c r="H109" s="34"/>
      <c r="I109" s="34"/>
      <c r="J109" s="34"/>
      <c r="K109" s="36"/>
      <c r="L109" s="32" t="s">
        <v>361</v>
      </c>
      <c r="M109" s="32"/>
      <c r="N109" s="32" t="s">
        <v>359</v>
      </c>
      <c r="O109" s="33">
        <v>43891.713587962964</v>
      </c>
      <c r="P109" s="32" t="s">
        <v>358</v>
      </c>
      <c r="Q109" s="32" t="s">
        <v>357</v>
      </c>
      <c r="R109" s="32"/>
      <c r="S109" s="32">
        <f>Table_query__44[[#This Row],[Grant Received]]*0.95</f>
        <v>0</v>
      </c>
      <c r="T109" s="32"/>
      <c r="U109" s="32">
        <f>Table_query__44[[#This Row],[Grant Received]]*0.9</f>
        <v>0</v>
      </c>
      <c r="V109" s="32"/>
      <c r="W109" s="32">
        <f>Table_query__44[[#This Row],[Grant Received]]*0.8</f>
        <v>0</v>
      </c>
      <c r="X109" s="32"/>
    </row>
    <row r="110" spans="1:24">
      <c r="A110" s="31" t="str">
        <f>LEFT(Table_query__44[[#This Row],[Title]],(FIND(" ",Table_query__44[[#This Row],[Title]],1)-1))</f>
        <v>CTM</v>
      </c>
      <c r="B110" s="32" t="s">
        <v>451</v>
      </c>
      <c r="C110" s="32" t="s">
        <v>218</v>
      </c>
      <c r="D110" s="34">
        <v>20</v>
      </c>
      <c r="E110" s="34">
        <v>4</v>
      </c>
      <c r="F110" s="32" t="s">
        <v>451</v>
      </c>
      <c r="G110" s="34">
        <v>1237</v>
      </c>
      <c r="H110" s="34">
        <v>950</v>
      </c>
      <c r="I110" s="34">
        <v>345</v>
      </c>
      <c r="J110" s="34">
        <v>110</v>
      </c>
      <c r="K110" s="36">
        <v>39.799999999999997</v>
      </c>
      <c r="L110" s="32" t="s">
        <v>361</v>
      </c>
      <c r="M110" s="32"/>
      <c r="N110" s="32" t="s">
        <v>359</v>
      </c>
      <c r="O110" s="33">
        <v>43901.538321759261</v>
      </c>
      <c r="P110" s="32" t="s">
        <v>358</v>
      </c>
      <c r="Q110" s="32" t="s">
        <v>357</v>
      </c>
      <c r="R110" s="32"/>
      <c r="S110" s="32">
        <f>Table_query__44[[#This Row],[Grant Received]]*0.95</f>
        <v>37.809999999999995</v>
      </c>
      <c r="T110" s="32"/>
      <c r="U110" s="32">
        <f>Table_query__44[[#This Row],[Grant Received]]*0.9</f>
        <v>35.82</v>
      </c>
      <c r="V110" s="32"/>
      <c r="W110" s="32">
        <f>Table_query__44[[#This Row],[Grant Received]]*0.8</f>
        <v>31.84</v>
      </c>
      <c r="X110" s="32"/>
    </row>
    <row r="111" spans="1:24">
      <c r="A111" s="31" t="str">
        <f>LEFT(Table_query__44[[#This Row],[Title]],(FIND(" ",Table_query__44[[#This Row],[Title]],1)-1))</f>
        <v>CTM</v>
      </c>
      <c r="B111" s="32" t="s">
        <v>451</v>
      </c>
      <c r="C111" s="32" t="s">
        <v>217</v>
      </c>
      <c r="D111" s="34">
        <v>25</v>
      </c>
      <c r="E111" s="34">
        <v>3</v>
      </c>
      <c r="F111" s="32" t="s">
        <v>451</v>
      </c>
      <c r="G111" s="34">
        <v>470.45</v>
      </c>
      <c r="H111" s="34">
        <v>150</v>
      </c>
      <c r="I111" s="34">
        <v>245.45</v>
      </c>
      <c r="J111" s="34">
        <v>210</v>
      </c>
      <c r="K111" s="36">
        <v>60</v>
      </c>
      <c r="L111" s="32" t="s">
        <v>361</v>
      </c>
      <c r="M111" s="32"/>
      <c r="N111" s="32" t="s">
        <v>359</v>
      </c>
      <c r="O111" s="33">
        <v>43906.456087962964</v>
      </c>
      <c r="P111" s="32" t="s">
        <v>358</v>
      </c>
      <c r="Q111" s="32" t="s">
        <v>357</v>
      </c>
      <c r="R111" s="32"/>
      <c r="S111" s="32">
        <f>Table_query__44[[#This Row],[Grant Received]]*0.95</f>
        <v>57</v>
      </c>
      <c r="T111" s="32"/>
      <c r="U111" s="32">
        <f>Table_query__44[[#This Row],[Grant Received]]*0.9</f>
        <v>54</v>
      </c>
      <c r="V111" s="32"/>
      <c r="W111" s="32">
        <f>Table_query__44[[#This Row],[Grant Received]]*0.8</f>
        <v>48</v>
      </c>
      <c r="X111" s="32"/>
    </row>
    <row r="112" spans="1:24">
      <c r="A112" s="31" t="str">
        <f>LEFT(Table_query__44[[#This Row],[Title]],(FIND(" ",Table_query__44[[#This Row],[Title]],1)-1))</f>
        <v>CTM</v>
      </c>
      <c r="B112" s="32" t="s">
        <v>451</v>
      </c>
      <c r="C112" s="32" t="s">
        <v>216</v>
      </c>
      <c r="D112" s="34"/>
      <c r="E112" s="34"/>
      <c r="F112" s="32" t="s">
        <v>451</v>
      </c>
      <c r="G112" s="34"/>
      <c r="H112" s="34"/>
      <c r="I112" s="34"/>
      <c r="J112" s="34"/>
      <c r="K112" s="36"/>
      <c r="L112" s="32" t="s">
        <v>361</v>
      </c>
      <c r="M112" s="32"/>
      <c r="N112" s="32" t="s">
        <v>359</v>
      </c>
      <c r="O112" s="33">
        <v>43891.72074074074</v>
      </c>
      <c r="P112" s="32" t="s">
        <v>358</v>
      </c>
      <c r="Q112" s="32" t="s">
        <v>357</v>
      </c>
      <c r="R112" s="32"/>
      <c r="S112" s="32">
        <f>Table_query__44[[#This Row],[Grant Received]]*0.95</f>
        <v>0</v>
      </c>
      <c r="T112" s="32"/>
      <c r="U112" s="32">
        <f>Table_query__44[[#This Row],[Grant Received]]*0.9</f>
        <v>0</v>
      </c>
      <c r="V112" s="32"/>
      <c r="W112" s="32">
        <f>Table_query__44[[#This Row],[Grant Received]]*0.8</f>
        <v>0</v>
      </c>
      <c r="X112" s="32"/>
    </row>
    <row r="113" spans="1:24">
      <c r="A113" s="31" t="str">
        <f>LEFT(Table_query__44[[#This Row],[Title]],(FIND(" ",Table_query__44[[#This Row],[Title]],1)-1))</f>
        <v>CTM</v>
      </c>
      <c r="B113" s="32" t="s">
        <v>451</v>
      </c>
      <c r="C113" s="32" t="s">
        <v>455</v>
      </c>
      <c r="D113" s="34"/>
      <c r="E113" s="34"/>
      <c r="F113" s="32" t="s">
        <v>451</v>
      </c>
      <c r="G113" s="34"/>
      <c r="H113" s="34"/>
      <c r="I113" s="34"/>
      <c r="J113" s="34"/>
      <c r="K113" s="36"/>
      <c r="L113" s="32" t="s">
        <v>361</v>
      </c>
      <c r="M113" s="32"/>
      <c r="N113" s="32" t="s">
        <v>359</v>
      </c>
      <c r="O113" s="33">
        <v>43891.720833333333</v>
      </c>
      <c r="P113" s="32" t="s">
        <v>358</v>
      </c>
      <c r="Q113" s="32" t="s">
        <v>357</v>
      </c>
      <c r="R113" s="32"/>
      <c r="S113" s="32">
        <f>Table_query__44[[#This Row],[Grant Received]]*0.95</f>
        <v>0</v>
      </c>
      <c r="T113" s="32"/>
      <c r="U113" s="32">
        <f>Table_query__44[[#This Row],[Grant Received]]*0.9</f>
        <v>0</v>
      </c>
      <c r="V113" s="32"/>
      <c r="W113" s="32">
        <f>Table_query__44[[#This Row],[Grant Received]]*0.8</f>
        <v>0</v>
      </c>
      <c r="X113" s="32"/>
    </row>
    <row r="114" spans="1:24">
      <c r="A114" s="31" t="str">
        <f>LEFT(Table_query__44[[#This Row],[Title]],(FIND(" ",Table_query__44[[#This Row],[Title]],1)-1))</f>
        <v>CTM</v>
      </c>
      <c r="B114" s="32" t="s">
        <v>451</v>
      </c>
      <c r="C114" s="32" t="s">
        <v>454</v>
      </c>
      <c r="D114" s="34">
        <v>100</v>
      </c>
      <c r="E114" s="34">
        <v>3</v>
      </c>
      <c r="F114" s="32" t="s">
        <v>451</v>
      </c>
      <c r="G114" s="34">
        <v>62138.5</v>
      </c>
      <c r="H114" s="34">
        <v>20080</v>
      </c>
      <c r="I114" s="34">
        <v>2000</v>
      </c>
      <c r="J114" s="34">
        <v>0</v>
      </c>
      <c r="K114" s="36">
        <v>0</v>
      </c>
      <c r="L114" s="32" t="s">
        <v>361</v>
      </c>
      <c r="M114" s="32"/>
      <c r="N114" s="32" t="s">
        <v>359</v>
      </c>
      <c r="O114" s="33">
        <v>43895.694050925929</v>
      </c>
      <c r="P114" s="32" t="s">
        <v>358</v>
      </c>
      <c r="Q114" s="32" t="s">
        <v>357</v>
      </c>
      <c r="R114" s="32"/>
      <c r="S114" s="32">
        <f>Table_query__44[[#This Row],[Grant Received]]*0.95</f>
        <v>0</v>
      </c>
      <c r="T114" s="32"/>
      <c r="U114" s="32">
        <f>Table_query__44[[#This Row],[Grant Received]]*0.9</f>
        <v>0</v>
      </c>
      <c r="V114" s="32"/>
      <c r="W114" s="32">
        <f>Table_query__44[[#This Row],[Grant Received]]*0.8</f>
        <v>0</v>
      </c>
      <c r="X114" s="32"/>
    </row>
    <row r="115" spans="1:24">
      <c r="A115" s="31" t="str">
        <f>LEFT(Table_query__44[[#This Row],[Title]],(FIND(" ",Table_query__44[[#This Row],[Title]],1)-1))</f>
        <v>CTM</v>
      </c>
      <c r="B115" s="32" t="s">
        <v>451</v>
      </c>
      <c r="C115" s="32" t="s">
        <v>215</v>
      </c>
      <c r="D115" s="34"/>
      <c r="E115" s="34"/>
      <c r="F115" s="32" t="s">
        <v>451</v>
      </c>
      <c r="G115" s="34"/>
      <c r="H115" s="34"/>
      <c r="I115" s="34"/>
      <c r="J115" s="34"/>
      <c r="K115" s="36"/>
      <c r="L115" s="32" t="s">
        <v>361</v>
      </c>
      <c r="M115" s="32"/>
      <c r="N115" s="32" t="s">
        <v>359</v>
      </c>
      <c r="O115" s="33">
        <v>43891.730740740742</v>
      </c>
      <c r="P115" s="32" t="s">
        <v>358</v>
      </c>
      <c r="Q115" s="32" t="s">
        <v>357</v>
      </c>
      <c r="R115" s="32"/>
      <c r="S115" s="32">
        <f>Table_query__44[[#This Row],[Grant Received]]*0.95</f>
        <v>0</v>
      </c>
      <c r="T115" s="32"/>
      <c r="U115" s="32">
        <f>Table_query__44[[#This Row],[Grant Received]]*0.9</f>
        <v>0</v>
      </c>
      <c r="V115" s="32"/>
      <c r="W115" s="32">
        <f>Table_query__44[[#This Row],[Grant Received]]*0.8</f>
        <v>0</v>
      </c>
      <c r="X115" s="32"/>
    </row>
    <row r="116" spans="1:24">
      <c r="A116" s="31" t="str">
        <f>LEFT(Table_query__44[[#This Row],[Title]],(FIND(" ",Table_query__44[[#This Row],[Title]],1)-1))</f>
        <v>CTM</v>
      </c>
      <c r="B116" s="32" t="s">
        <v>451</v>
      </c>
      <c r="C116" s="32" t="s">
        <v>214</v>
      </c>
      <c r="D116" s="34"/>
      <c r="E116" s="34"/>
      <c r="F116" s="32" t="s">
        <v>451</v>
      </c>
      <c r="G116" s="34"/>
      <c r="H116" s="34"/>
      <c r="I116" s="34"/>
      <c r="J116" s="34"/>
      <c r="K116" s="36"/>
      <c r="L116" s="32" t="s">
        <v>361</v>
      </c>
      <c r="M116" s="32"/>
      <c r="N116" s="32" t="s">
        <v>359</v>
      </c>
      <c r="O116" s="33">
        <v>43891.730810185189</v>
      </c>
      <c r="P116" s="32" t="s">
        <v>358</v>
      </c>
      <c r="Q116" s="32" t="s">
        <v>357</v>
      </c>
      <c r="R116" s="32"/>
      <c r="S116" s="32">
        <f>Table_query__44[[#This Row],[Grant Received]]*0.95</f>
        <v>0</v>
      </c>
      <c r="T116" s="32"/>
      <c r="U116" s="32">
        <f>Table_query__44[[#This Row],[Grant Received]]*0.9</f>
        <v>0</v>
      </c>
      <c r="V116" s="32"/>
      <c r="W116" s="32">
        <f>Table_query__44[[#This Row],[Grant Received]]*0.8</f>
        <v>0</v>
      </c>
      <c r="X116" s="32"/>
    </row>
    <row r="117" spans="1:24">
      <c r="A117" s="31" t="str">
        <f>LEFT(Table_query__44[[#This Row],[Title]],(FIND(" ",Table_query__44[[#This Row],[Title]],1)-1))</f>
        <v>CTM</v>
      </c>
      <c r="B117" s="32" t="s">
        <v>451</v>
      </c>
      <c r="C117" s="32" t="s">
        <v>453</v>
      </c>
      <c r="D117" s="34"/>
      <c r="E117" s="34"/>
      <c r="F117" s="32" t="s">
        <v>451</v>
      </c>
      <c r="G117" s="34"/>
      <c r="H117" s="34"/>
      <c r="I117" s="34"/>
      <c r="J117" s="34"/>
      <c r="K117" s="36"/>
      <c r="L117" s="32" t="s">
        <v>361</v>
      </c>
      <c r="M117" s="32"/>
      <c r="N117" s="32" t="s">
        <v>359</v>
      </c>
      <c r="O117" s="33">
        <v>43891.730879629627</v>
      </c>
      <c r="P117" s="32" t="s">
        <v>358</v>
      </c>
      <c r="Q117" s="32" t="s">
        <v>357</v>
      </c>
      <c r="R117" s="32"/>
      <c r="S117" s="32">
        <f>Table_query__44[[#This Row],[Grant Received]]*0.95</f>
        <v>0</v>
      </c>
      <c r="T117" s="32"/>
      <c r="U117" s="32">
        <f>Table_query__44[[#This Row],[Grant Received]]*0.9</f>
        <v>0</v>
      </c>
      <c r="V117" s="32"/>
      <c r="W117" s="32">
        <f>Table_query__44[[#This Row],[Grant Received]]*0.8</f>
        <v>0</v>
      </c>
      <c r="X117" s="32"/>
    </row>
    <row r="118" spans="1:24">
      <c r="A118" s="31" t="str">
        <f>LEFT(Table_query__44[[#This Row],[Title]],(FIND(" ",Table_query__44[[#This Row],[Title]],1)-1))</f>
        <v>CTM</v>
      </c>
      <c r="B118" s="32" t="s">
        <v>451</v>
      </c>
      <c r="C118" s="32" t="s">
        <v>452</v>
      </c>
      <c r="D118" s="34"/>
      <c r="E118" s="34"/>
      <c r="F118" s="32" t="s">
        <v>451</v>
      </c>
      <c r="G118" s="34">
        <v>500</v>
      </c>
      <c r="H118" s="34">
        <v>0</v>
      </c>
      <c r="I118" s="34">
        <v>500</v>
      </c>
      <c r="J118" s="34">
        <v>0</v>
      </c>
      <c r="K118" s="36">
        <v>0</v>
      </c>
      <c r="L118" s="32" t="s">
        <v>361</v>
      </c>
      <c r="M118" s="32"/>
      <c r="N118" s="32" t="s">
        <v>359</v>
      </c>
      <c r="O118" s="33">
        <v>43891.731192129628</v>
      </c>
      <c r="P118" s="32" t="s">
        <v>358</v>
      </c>
      <c r="Q118" s="32" t="s">
        <v>357</v>
      </c>
      <c r="R118" s="32"/>
      <c r="S118" s="32">
        <f>Table_query__44[[#This Row],[Grant Received]]*0.95</f>
        <v>0</v>
      </c>
      <c r="T118" s="32"/>
      <c r="U118" s="32">
        <f>Table_query__44[[#This Row],[Grant Received]]*0.9</f>
        <v>0</v>
      </c>
      <c r="V118" s="32"/>
      <c r="W118" s="32">
        <f>Table_query__44[[#This Row],[Grant Received]]*0.8</f>
        <v>0</v>
      </c>
      <c r="X118" s="32"/>
    </row>
    <row r="119" spans="1:24">
      <c r="A119" s="31" t="str">
        <f>LEFT(Table_query__44[[#This Row],[Title]],(FIND(" ",Table_query__44[[#This Row],[Title]],1)-1))</f>
        <v>CTN</v>
      </c>
      <c r="B119" s="32" t="s">
        <v>441</v>
      </c>
      <c r="C119" s="32" t="s">
        <v>213</v>
      </c>
      <c r="D119" s="34">
        <v>110</v>
      </c>
      <c r="E119" s="34">
        <v>6</v>
      </c>
      <c r="F119" s="32" t="s">
        <v>441</v>
      </c>
      <c r="G119" s="34">
        <v>12366</v>
      </c>
      <c r="H119" s="34">
        <v>8210</v>
      </c>
      <c r="I119" s="34">
        <v>4381</v>
      </c>
      <c r="J119" s="34">
        <v>2800</v>
      </c>
      <c r="K119" s="36">
        <v>420.024</v>
      </c>
      <c r="L119" s="32" t="s">
        <v>361</v>
      </c>
      <c r="M119" s="32"/>
      <c r="N119" s="32" t="s">
        <v>359</v>
      </c>
      <c r="O119" s="33">
        <v>43901.539375</v>
      </c>
      <c r="P119" s="32" t="s">
        <v>358</v>
      </c>
      <c r="Q119" s="32" t="s">
        <v>357</v>
      </c>
      <c r="R119" s="32"/>
      <c r="S119" s="32">
        <f>Table_query__44[[#This Row],[Grant Received]]*0.95</f>
        <v>399.02279999999996</v>
      </c>
      <c r="T119" s="32"/>
      <c r="U119" s="32">
        <f>Table_query__44[[#This Row],[Grant Received]]*0.9</f>
        <v>378.02160000000003</v>
      </c>
      <c r="V119" s="32"/>
      <c r="W119" s="32">
        <f>Table_query__44[[#This Row],[Grant Received]]*0.8</f>
        <v>336.01920000000001</v>
      </c>
      <c r="X119" s="32"/>
    </row>
    <row r="120" spans="1:24">
      <c r="A120" s="31" t="str">
        <f>LEFT(Table_query__44[[#This Row],[Title]],(FIND(" ",Table_query__44[[#This Row],[Title]],1)-1))</f>
        <v>CTN</v>
      </c>
      <c r="B120" s="32" t="s">
        <v>441</v>
      </c>
      <c r="C120" s="32" t="s">
        <v>450</v>
      </c>
      <c r="D120" s="34">
        <v>45</v>
      </c>
      <c r="E120" s="34">
        <v>0</v>
      </c>
      <c r="F120" s="32" t="s">
        <v>441</v>
      </c>
      <c r="G120" s="34"/>
      <c r="H120" s="34"/>
      <c r="I120" s="34"/>
      <c r="J120" s="34"/>
      <c r="K120" s="36"/>
      <c r="L120" s="32" t="s">
        <v>361</v>
      </c>
      <c r="M120" s="32"/>
      <c r="N120" s="32" t="s">
        <v>359</v>
      </c>
      <c r="O120" s="33">
        <v>43891.750104166669</v>
      </c>
      <c r="P120" s="32" t="s">
        <v>358</v>
      </c>
      <c r="Q120" s="32" t="s">
        <v>357</v>
      </c>
      <c r="R120" s="32"/>
      <c r="S120" s="32">
        <f>Table_query__44[[#This Row],[Grant Received]]*0.95</f>
        <v>0</v>
      </c>
      <c r="T120" s="32"/>
      <c r="U120" s="32">
        <f>Table_query__44[[#This Row],[Grant Received]]*0.9</f>
        <v>0</v>
      </c>
      <c r="V120" s="32"/>
      <c r="W120" s="32">
        <f>Table_query__44[[#This Row],[Grant Received]]*0.8</f>
        <v>0</v>
      </c>
      <c r="X120" s="32"/>
    </row>
    <row r="121" spans="1:24">
      <c r="A121" s="31" t="str">
        <f>LEFT(Table_query__44[[#This Row],[Title]],(FIND(" ",Table_query__44[[#This Row],[Title]],1)-1))</f>
        <v>CTN</v>
      </c>
      <c r="B121" s="32" t="s">
        <v>441</v>
      </c>
      <c r="C121" s="32" t="s">
        <v>212</v>
      </c>
      <c r="D121" s="34"/>
      <c r="E121" s="34"/>
      <c r="F121" s="32" t="s">
        <v>441</v>
      </c>
      <c r="G121" s="34"/>
      <c r="H121" s="34"/>
      <c r="I121" s="34"/>
      <c r="J121" s="34"/>
      <c r="K121" s="36"/>
      <c r="L121" s="32" t="s">
        <v>361</v>
      </c>
      <c r="M121" s="32"/>
      <c r="N121" s="32" t="s">
        <v>359</v>
      </c>
      <c r="O121" s="33">
        <v>43891.750277777777</v>
      </c>
      <c r="P121" s="32" t="s">
        <v>358</v>
      </c>
      <c r="Q121" s="32" t="s">
        <v>357</v>
      </c>
      <c r="R121" s="32"/>
      <c r="S121" s="32">
        <f>Table_query__44[[#This Row],[Grant Received]]*0.95</f>
        <v>0</v>
      </c>
      <c r="T121" s="32"/>
      <c r="U121" s="32">
        <f>Table_query__44[[#This Row],[Grant Received]]*0.9</f>
        <v>0</v>
      </c>
      <c r="V121" s="32"/>
      <c r="W121" s="32">
        <f>Table_query__44[[#This Row],[Grant Received]]*0.8</f>
        <v>0</v>
      </c>
      <c r="X121" s="32"/>
    </row>
    <row r="122" spans="1:24">
      <c r="A122" s="31" t="str">
        <f>LEFT(Table_query__44[[#This Row],[Title]],(FIND(" ",Table_query__44[[#This Row],[Title]],1)-1))</f>
        <v>CTN</v>
      </c>
      <c r="B122" s="32" t="s">
        <v>441</v>
      </c>
      <c r="C122" s="32" t="s">
        <v>211</v>
      </c>
      <c r="D122" s="34"/>
      <c r="E122" s="34"/>
      <c r="F122" s="32" t="s">
        <v>441</v>
      </c>
      <c r="G122" s="34"/>
      <c r="H122" s="34"/>
      <c r="I122" s="34"/>
      <c r="J122" s="34"/>
      <c r="K122" s="36"/>
      <c r="L122" s="32" t="s">
        <v>361</v>
      </c>
      <c r="M122" s="32"/>
      <c r="N122" s="32" t="s">
        <v>359</v>
      </c>
      <c r="O122" s="33">
        <v>43891.750335648147</v>
      </c>
      <c r="P122" s="32" t="s">
        <v>358</v>
      </c>
      <c r="Q122" s="32" t="s">
        <v>357</v>
      </c>
      <c r="R122" s="32"/>
      <c r="S122" s="32">
        <f>Table_query__44[[#This Row],[Grant Received]]*0.95</f>
        <v>0</v>
      </c>
      <c r="T122" s="32"/>
      <c r="U122" s="32">
        <f>Table_query__44[[#This Row],[Grant Received]]*0.9</f>
        <v>0</v>
      </c>
      <c r="V122" s="32"/>
      <c r="W122" s="32">
        <f>Table_query__44[[#This Row],[Grant Received]]*0.8</f>
        <v>0</v>
      </c>
      <c r="X122" s="32"/>
    </row>
    <row r="123" spans="1:24">
      <c r="A123" s="31" t="str">
        <f>LEFT(Table_query__44[[#This Row],[Title]],(FIND(" ",Table_query__44[[#This Row],[Title]],1)-1))</f>
        <v>CTN</v>
      </c>
      <c r="B123" s="32" t="s">
        <v>441</v>
      </c>
      <c r="C123" s="32" t="s">
        <v>210</v>
      </c>
      <c r="D123" s="34">
        <v>40</v>
      </c>
      <c r="E123" s="34">
        <v>5</v>
      </c>
      <c r="F123" s="32" t="s">
        <v>441</v>
      </c>
      <c r="G123" s="34">
        <v>4780</v>
      </c>
      <c r="H123" s="34">
        <v>5160</v>
      </c>
      <c r="I123" s="34">
        <v>250</v>
      </c>
      <c r="J123" s="34">
        <v>100</v>
      </c>
      <c r="K123" s="36">
        <v>67.72</v>
      </c>
      <c r="L123" s="32" t="s">
        <v>361</v>
      </c>
      <c r="M123" s="32"/>
      <c r="N123" s="32" t="s">
        <v>359</v>
      </c>
      <c r="O123" s="33">
        <v>43901.539594907408</v>
      </c>
      <c r="P123" s="32" t="s">
        <v>358</v>
      </c>
      <c r="Q123" s="32" t="s">
        <v>357</v>
      </c>
      <c r="R123" s="32"/>
      <c r="S123" s="32">
        <f>Table_query__44[[#This Row],[Grant Received]]*0.95</f>
        <v>64.333999999999989</v>
      </c>
      <c r="T123" s="32"/>
      <c r="U123" s="32">
        <f>Table_query__44[[#This Row],[Grant Received]]*0.9</f>
        <v>60.948</v>
      </c>
      <c r="V123" s="32"/>
      <c r="W123" s="32">
        <f>Table_query__44[[#This Row],[Grant Received]]*0.8</f>
        <v>54.176000000000002</v>
      </c>
      <c r="X123" s="32"/>
    </row>
    <row r="124" spans="1:24">
      <c r="A124" s="31" t="str">
        <f>LEFT(Table_query__44[[#This Row],[Title]],(FIND(" ",Table_query__44[[#This Row],[Title]],1)-1))</f>
        <v>CTN</v>
      </c>
      <c r="B124" s="32" t="s">
        <v>441</v>
      </c>
      <c r="C124" s="32" t="s">
        <v>449</v>
      </c>
      <c r="D124" s="34">
        <v>20</v>
      </c>
      <c r="E124" s="34">
        <v>5</v>
      </c>
      <c r="F124" s="32" t="s">
        <v>441</v>
      </c>
      <c r="G124" s="34">
        <v>1372.5</v>
      </c>
      <c r="H124" s="34">
        <v>1500</v>
      </c>
      <c r="I124" s="34">
        <v>305</v>
      </c>
      <c r="J124" s="34">
        <v>200</v>
      </c>
      <c r="K124" s="36">
        <v>130</v>
      </c>
      <c r="L124" s="32" t="s">
        <v>361</v>
      </c>
      <c r="M124" s="32"/>
      <c r="N124" s="32" t="s">
        <v>359</v>
      </c>
      <c r="O124" s="33">
        <v>43906.456504629627</v>
      </c>
      <c r="P124" s="32" t="s">
        <v>358</v>
      </c>
      <c r="Q124" s="32" t="s">
        <v>357</v>
      </c>
      <c r="R124" s="32"/>
      <c r="S124" s="32">
        <f>Table_query__44[[#This Row],[Grant Received]]*0.95</f>
        <v>123.5</v>
      </c>
      <c r="T124" s="32"/>
      <c r="U124" s="32">
        <f>Table_query__44[[#This Row],[Grant Received]]*0.9</f>
        <v>117</v>
      </c>
      <c r="V124" s="32"/>
      <c r="W124" s="32">
        <f>Table_query__44[[#This Row],[Grant Received]]*0.8</f>
        <v>104</v>
      </c>
      <c r="X124" s="32"/>
    </row>
    <row r="125" spans="1:24">
      <c r="A125" s="31" t="str">
        <f>LEFT(Table_query__44[[#This Row],[Title]],(FIND(" ",Table_query__44[[#This Row],[Title]],1)-1))</f>
        <v>CTN</v>
      </c>
      <c r="B125" s="32" t="s">
        <v>441</v>
      </c>
      <c r="C125" s="32" t="s">
        <v>209</v>
      </c>
      <c r="D125" s="34">
        <v>140</v>
      </c>
      <c r="E125" s="34">
        <v>4</v>
      </c>
      <c r="F125" s="32" t="s">
        <v>441</v>
      </c>
      <c r="G125" s="34">
        <v>3750</v>
      </c>
      <c r="H125" s="34">
        <v>1920</v>
      </c>
      <c r="I125" s="34">
        <v>1500</v>
      </c>
      <c r="J125" s="34">
        <v>1300</v>
      </c>
      <c r="K125" s="36">
        <v>267.34199999999998</v>
      </c>
      <c r="L125" s="32" t="s">
        <v>361</v>
      </c>
      <c r="M125" s="32"/>
      <c r="N125" s="32" t="s">
        <v>359</v>
      </c>
      <c r="O125" s="33">
        <v>43901.539837962962</v>
      </c>
      <c r="P125" s="32" t="s">
        <v>358</v>
      </c>
      <c r="Q125" s="32" t="s">
        <v>357</v>
      </c>
      <c r="R125" s="32"/>
      <c r="S125" s="32">
        <f>Table_query__44[[#This Row],[Grant Received]]*0.95</f>
        <v>253.97489999999996</v>
      </c>
      <c r="T125" s="32"/>
      <c r="U125" s="32">
        <f>Table_query__44[[#This Row],[Grant Received]]*0.9</f>
        <v>240.6078</v>
      </c>
      <c r="V125" s="32"/>
      <c r="W125" s="32">
        <f>Table_query__44[[#This Row],[Grant Received]]*0.8</f>
        <v>213.87360000000001</v>
      </c>
      <c r="X125" s="32"/>
    </row>
    <row r="126" spans="1:24">
      <c r="A126" s="31" t="str">
        <f>LEFT(Table_query__44[[#This Row],[Title]],(FIND(" ",Table_query__44[[#This Row],[Title]],1)-1))</f>
        <v>CTN</v>
      </c>
      <c r="B126" s="32" t="s">
        <v>441</v>
      </c>
      <c r="C126" s="32" t="s">
        <v>448</v>
      </c>
      <c r="D126" s="34">
        <v>100</v>
      </c>
      <c r="E126" s="34">
        <v>5</v>
      </c>
      <c r="F126" s="32" t="s">
        <v>441</v>
      </c>
      <c r="G126" s="34">
        <v>1752.5</v>
      </c>
      <c r="H126" s="34">
        <v>300</v>
      </c>
      <c r="I126" s="34">
        <v>726.25</v>
      </c>
      <c r="J126" s="34">
        <v>340</v>
      </c>
      <c r="K126" s="36">
        <v>170</v>
      </c>
      <c r="L126" s="32" t="s">
        <v>361</v>
      </c>
      <c r="M126" s="32"/>
      <c r="N126" s="32" t="s">
        <v>359</v>
      </c>
      <c r="O126" s="33">
        <v>43906.456701388888</v>
      </c>
      <c r="P126" s="32" t="s">
        <v>358</v>
      </c>
      <c r="Q126" s="32" t="s">
        <v>357</v>
      </c>
      <c r="R126" s="32"/>
      <c r="S126" s="32">
        <f>Table_query__44[[#This Row],[Grant Received]]*0.95</f>
        <v>161.5</v>
      </c>
      <c r="T126" s="32"/>
      <c r="U126" s="32">
        <f>Table_query__44[[#This Row],[Grant Received]]*0.9</f>
        <v>153</v>
      </c>
      <c r="V126" s="32"/>
      <c r="W126" s="32">
        <f>Table_query__44[[#This Row],[Grant Received]]*0.8</f>
        <v>136</v>
      </c>
      <c r="X126" s="32"/>
    </row>
    <row r="127" spans="1:24">
      <c r="A127" s="31" t="str">
        <f>LEFT(Table_query__44[[#This Row],[Title]],(FIND(" ",Table_query__44[[#This Row],[Title]],1)-1))</f>
        <v>CTN</v>
      </c>
      <c r="B127" s="32" t="s">
        <v>441</v>
      </c>
      <c r="C127" s="32" t="s">
        <v>208</v>
      </c>
      <c r="D127" s="34"/>
      <c r="E127" s="34"/>
      <c r="F127" s="32" t="s">
        <v>441</v>
      </c>
      <c r="G127" s="34"/>
      <c r="H127" s="34"/>
      <c r="I127" s="34"/>
      <c r="J127" s="34"/>
      <c r="K127" s="36"/>
      <c r="L127" s="32" t="s">
        <v>361</v>
      </c>
      <c r="M127" s="32"/>
      <c r="N127" s="32" t="s">
        <v>359</v>
      </c>
      <c r="O127" s="33">
        <v>43891.754351851851</v>
      </c>
      <c r="P127" s="32" t="s">
        <v>358</v>
      </c>
      <c r="Q127" s="32" t="s">
        <v>357</v>
      </c>
      <c r="R127" s="32"/>
      <c r="S127" s="32">
        <f>Table_query__44[[#This Row],[Grant Received]]*0.95</f>
        <v>0</v>
      </c>
      <c r="T127" s="32"/>
      <c r="U127" s="32">
        <f>Table_query__44[[#This Row],[Grant Received]]*0.9</f>
        <v>0</v>
      </c>
      <c r="V127" s="32"/>
      <c r="W127" s="32">
        <f>Table_query__44[[#This Row],[Grant Received]]*0.8</f>
        <v>0</v>
      </c>
      <c r="X127" s="32"/>
    </row>
    <row r="128" spans="1:24">
      <c r="A128" s="31" t="str">
        <f>LEFT(Table_query__44[[#This Row],[Title]],(FIND(" ",Table_query__44[[#This Row],[Title]],1)-1))</f>
        <v>CTN</v>
      </c>
      <c r="B128" s="32" t="s">
        <v>441</v>
      </c>
      <c r="C128" s="32" t="s">
        <v>447</v>
      </c>
      <c r="D128" s="34">
        <v>25</v>
      </c>
      <c r="E128" s="34">
        <v>4</v>
      </c>
      <c r="F128" s="32" t="s">
        <v>441</v>
      </c>
      <c r="G128" s="34">
        <v>575</v>
      </c>
      <c r="H128" s="34">
        <v>350</v>
      </c>
      <c r="I128" s="34">
        <v>140</v>
      </c>
      <c r="J128" s="34">
        <v>100</v>
      </c>
      <c r="K128" s="36">
        <v>35.115000000000002</v>
      </c>
      <c r="L128" s="32" t="s">
        <v>361</v>
      </c>
      <c r="M128" s="32"/>
      <c r="N128" s="32" t="s">
        <v>359</v>
      </c>
      <c r="O128" s="33">
        <v>43901.540069444447</v>
      </c>
      <c r="P128" s="32" t="s">
        <v>358</v>
      </c>
      <c r="Q128" s="32" t="s">
        <v>357</v>
      </c>
      <c r="R128" s="32"/>
      <c r="S128" s="32">
        <f>Table_query__44[[#This Row],[Grant Received]]*0.95</f>
        <v>33.359250000000003</v>
      </c>
      <c r="T128" s="32"/>
      <c r="U128" s="32">
        <f>Table_query__44[[#This Row],[Grant Received]]*0.9</f>
        <v>31.603500000000004</v>
      </c>
      <c r="V128" s="32"/>
      <c r="W128" s="32">
        <f>Table_query__44[[#This Row],[Grant Received]]*0.8</f>
        <v>28.092000000000002</v>
      </c>
      <c r="X128" s="32"/>
    </row>
    <row r="129" spans="1:24">
      <c r="A129" s="31" t="str">
        <f>LEFT(Table_query__44[[#This Row],[Title]],(FIND(" ",Table_query__44[[#This Row],[Title]],1)-1))</f>
        <v>CTN</v>
      </c>
      <c r="B129" s="32" t="s">
        <v>441</v>
      </c>
      <c r="C129" s="32" t="s">
        <v>207</v>
      </c>
      <c r="D129" s="34">
        <v>40</v>
      </c>
      <c r="E129" s="34">
        <v>2</v>
      </c>
      <c r="F129" s="32" t="s">
        <v>441</v>
      </c>
      <c r="G129" s="34">
        <v>2633.43</v>
      </c>
      <c r="H129" s="34">
        <v>1990</v>
      </c>
      <c r="I129" s="34">
        <v>499.125</v>
      </c>
      <c r="J129" s="34">
        <v>440</v>
      </c>
      <c r="K129" s="36">
        <v>320</v>
      </c>
      <c r="L129" s="32" t="s">
        <v>361</v>
      </c>
      <c r="M129" s="32"/>
      <c r="N129" s="32" t="s">
        <v>359</v>
      </c>
      <c r="O129" s="33">
        <v>43891.762731481482</v>
      </c>
      <c r="P129" s="32" t="s">
        <v>358</v>
      </c>
      <c r="Q129" s="32" t="s">
        <v>357</v>
      </c>
      <c r="R129" s="32"/>
      <c r="S129" s="32">
        <f>Table_query__44[[#This Row],[Grant Received]]*0.95</f>
        <v>304</v>
      </c>
      <c r="T129" s="32"/>
      <c r="U129" s="32">
        <f>Table_query__44[[#This Row],[Grant Received]]*0.9</f>
        <v>288</v>
      </c>
      <c r="V129" s="32"/>
      <c r="W129" s="32">
        <f>Table_query__44[[#This Row],[Grant Received]]*0.8</f>
        <v>256</v>
      </c>
      <c r="X129" s="32"/>
    </row>
    <row r="130" spans="1:24">
      <c r="A130" s="31" t="str">
        <f>LEFT(Table_query__44[[#This Row],[Title]],(FIND(" ",Table_query__44[[#This Row],[Title]],1)-1))</f>
        <v>CTN</v>
      </c>
      <c r="B130" s="32" t="s">
        <v>441</v>
      </c>
      <c r="C130" s="32" t="s">
        <v>446</v>
      </c>
      <c r="D130" s="34">
        <v>150</v>
      </c>
      <c r="E130" s="34">
        <v>4</v>
      </c>
      <c r="F130" s="32" t="s">
        <v>441</v>
      </c>
      <c r="G130" s="34">
        <v>800</v>
      </c>
      <c r="H130" s="34">
        <v>420</v>
      </c>
      <c r="I130" s="34">
        <v>400</v>
      </c>
      <c r="J130" s="34">
        <v>0</v>
      </c>
      <c r="K130" s="36">
        <v>0</v>
      </c>
      <c r="L130" s="32" t="s">
        <v>361</v>
      </c>
      <c r="M130" s="32"/>
      <c r="N130" s="32" t="s">
        <v>359</v>
      </c>
      <c r="O130" s="33">
        <v>43891.763055555559</v>
      </c>
      <c r="P130" s="32" t="s">
        <v>358</v>
      </c>
      <c r="Q130" s="32" t="s">
        <v>357</v>
      </c>
      <c r="R130" s="32"/>
      <c r="S130" s="32">
        <f>Table_query__44[[#This Row],[Grant Received]]*0.95</f>
        <v>0</v>
      </c>
      <c r="T130" s="32"/>
      <c r="U130" s="32">
        <f>Table_query__44[[#This Row],[Grant Received]]*0.9</f>
        <v>0</v>
      </c>
      <c r="V130" s="32"/>
      <c r="W130" s="32">
        <f>Table_query__44[[#This Row],[Grant Received]]*0.8</f>
        <v>0</v>
      </c>
      <c r="X130" s="32"/>
    </row>
    <row r="131" spans="1:24">
      <c r="A131" s="31" t="str">
        <f>LEFT(Table_query__44[[#This Row],[Title]],(FIND(" ",Table_query__44[[#This Row],[Title]],1)-1))</f>
        <v>CTN</v>
      </c>
      <c r="B131" s="32" t="s">
        <v>441</v>
      </c>
      <c r="C131" s="32" t="s">
        <v>206</v>
      </c>
      <c r="D131" s="34"/>
      <c r="E131" s="34"/>
      <c r="F131" s="32" t="s">
        <v>441</v>
      </c>
      <c r="G131" s="34">
        <v>1000</v>
      </c>
      <c r="H131" s="34">
        <v>0</v>
      </c>
      <c r="I131" s="34">
        <v>1000</v>
      </c>
      <c r="J131" s="34">
        <v>1000</v>
      </c>
      <c r="K131" s="36">
        <v>200</v>
      </c>
      <c r="L131" s="32" t="s">
        <v>361</v>
      </c>
      <c r="M131" s="32"/>
      <c r="N131" s="32" t="s">
        <v>359</v>
      </c>
      <c r="O131" s="33">
        <v>43891.76394675926</v>
      </c>
      <c r="P131" s="32" t="s">
        <v>358</v>
      </c>
      <c r="Q131" s="32" t="s">
        <v>357</v>
      </c>
      <c r="R131" s="32"/>
      <c r="S131" s="32">
        <f>Table_query__44[[#This Row],[Grant Received]]*0.95</f>
        <v>190</v>
      </c>
      <c r="T131" s="32"/>
      <c r="U131" s="32">
        <f>Table_query__44[[#This Row],[Grant Received]]*0.9</f>
        <v>180</v>
      </c>
      <c r="V131" s="32"/>
      <c r="W131" s="32">
        <f>Table_query__44[[#This Row],[Grant Received]]*0.8</f>
        <v>160</v>
      </c>
      <c r="X131" s="32"/>
    </row>
    <row r="132" spans="1:24">
      <c r="A132" s="31" t="str">
        <f>LEFT(Table_query__44[[#This Row],[Title]],(FIND(" ",Table_query__44[[#This Row],[Title]],1)-1))</f>
        <v>CTN</v>
      </c>
      <c r="B132" s="32" t="s">
        <v>441</v>
      </c>
      <c r="C132" s="32" t="s">
        <v>445</v>
      </c>
      <c r="D132" s="34">
        <v>40</v>
      </c>
      <c r="E132" s="34">
        <v>3</v>
      </c>
      <c r="F132" s="32" t="s">
        <v>441</v>
      </c>
      <c r="G132" s="34">
        <v>895</v>
      </c>
      <c r="H132" s="34">
        <v>770</v>
      </c>
      <c r="I132" s="34">
        <v>125</v>
      </c>
      <c r="J132" s="34">
        <v>125</v>
      </c>
      <c r="K132" s="36">
        <v>50</v>
      </c>
      <c r="L132" s="32" t="s">
        <v>361</v>
      </c>
      <c r="M132" s="32"/>
      <c r="N132" s="32" t="s">
        <v>359</v>
      </c>
      <c r="O132" s="33">
        <v>43906.456817129627</v>
      </c>
      <c r="P132" s="32" t="s">
        <v>358</v>
      </c>
      <c r="Q132" s="32" t="s">
        <v>357</v>
      </c>
      <c r="R132" s="32"/>
      <c r="S132" s="32">
        <f>Table_query__44[[#This Row],[Grant Received]]*0.95</f>
        <v>47.5</v>
      </c>
      <c r="T132" s="32"/>
      <c r="U132" s="32">
        <f>Table_query__44[[#This Row],[Grant Received]]*0.9</f>
        <v>45</v>
      </c>
      <c r="V132" s="32"/>
      <c r="W132" s="32">
        <f>Table_query__44[[#This Row],[Grant Received]]*0.8</f>
        <v>40</v>
      </c>
      <c r="X132" s="32"/>
    </row>
    <row r="133" spans="1:24">
      <c r="A133" s="31" t="str">
        <f>LEFT(Table_query__44[[#This Row],[Title]],(FIND(" ",Table_query__44[[#This Row],[Title]],1)-1))</f>
        <v>CTN</v>
      </c>
      <c r="B133" s="32" t="s">
        <v>441</v>
      </c>
      <c r="C133" s="32" t="s">
        <v>444</v>
      </c>
      <c r="D133" s="34"/>
      <c r="E133" s="34"/>
      <c r="F133" s="32" t="s">
        <v>441</v>
      </c>
      <c r="G133" s="34"/>
      <c r="H133" s="34"/>
      <c r="I133" s="34"/>
      <c r="J133" s="34"/>
      <c r="K133" s="36"/>
      <c r="L133" s="32" t="s">
        <v>361</v>
      </c>
      <c r="M133" s="32"/>
      <c r="N133" s="32" t="s">
        <v>359</v>
      </c>
      <c r="O133" s="33">
        <v>43891.765532407408</v>
      </c>
      <c r="P133" s="32" t="s">
        <v>358</v>
      </c>
      <c r="Q133" s="32" t="s">
        <v>357</v>
      </c>
      <c r="R133" s="32"/>
      <c r="S133" s="32">
        <f>Table_query__44[[#This Row],[Grant Received]]*0.95</f>
        <v>0</v>
      </c>
      <c r="T133" s="32"/>
      <c r="U133" s="32">
        <f>Table_query__44[[#This Row],[Grant Received]]*0.9</f>
        <v>0</v>
      </c>
      <c r="V133" s="32"/>
      <c r="W133" s="32">
        <f>Table_query__44[[#This Row],[Grant Received]]*0.8</f>
        <v>0</v>
      </c>
      <c r="X133" s="32"/>
    </row>
    <row r="134" spans="1:24">
      <c r="A134" s="31" t="str">
        <f>LEFT(Table_query__44[[#This Row],[Title]],(FIND(" ",Table_query__44[[#This Row],[Title]],1)-1))</f>
        <v>CTN</v>
      </c>
      <c r="B134" s="32" t="s">
        <v>441</v>
      </c>
      <c r="C134" s="32" t="s">
        <v>205</v>
      </c>
      <c r="D134" s="34"/>
      <c r="E134" s="34"/>
      <c r="F134" s="32" t="s">
        <v>441</v>
      </c>
      <c r="G134" s="34"/>
      <c r="H134" s="34"/>
      <c r="I134" s="34"/>
      <c r="J134" s="34"/>
      <c r="K134" s="36"/>
      <c r="L134" s="32" t="s">
        <v>361</v>
      </c>
      <c r="M134" s="32"/>
      <c r="N134" s="32" t="s">
        <v>359</v>
      </c>
      <c r="O134" s="33">
        <v>43891.765625</v>
      </c>
      <c r="P134" s="32" t="s">
        <v>358</v>
      </c>
      <c r="Q134" s="32" t="s">
        <v>357</v>
      </c>
      <c r="R134" s="32"/>
      <c r="S134" s="32">
        <f>Table_query__44[[#This Row],[Grant Received]]*0.95</f>
        <v>0</v>
      </c>
      <c r="T134" s="32"/>
      <c r="U134" s="32">
        <f>Table_query__44[[#This Row],[Grant Received]]*0.9</f>
        <v>0</v>
      </c>
      <c r="V134" s="32"/>
      <c r="W134" s="32">
        <f>Table_query__44[[#This Row],[Grant Received]]*0.8</f>
        <v>0</v>
      </c>
      <c r="X134" s="32"/>
    </row>
    <row r="135" spans="1:24">
      <c r="A135" s="31" t="str">
        <f>LEFT(Table_query__44[[#This Row],[Title]],(FIND(" ",Table_query__44[[#This Row],[Title]],1)-1))</f>
        <v>CTN</v>
      </c>
      <c r="B135" s="32" t="s">
        <v>441</v>
      </c>
      <c r="C135" s="32" t="s">
        <v>443</v>
      </c>
      <c r="D135" s="34"/>
      <c r="E135" s="34"/>
      <c r="F135" s="32" t="s">
        <v>441</v>
      </c>
      <c r="G135" s="34"/>
      <c r="H135" s="34"/>
      <c r="I135" s="34"/>
      <c r="J135" s="34"/>
      <c r="K135" s="36"/>
      <c r="L135" s="32" t="s">
        <v>361</v>
      </c>
      <c r="M135" s="32"/>
      <c r="N135" s="32" t="s">
        <v>359</v>
      </c>
      <c r="O135" s="33">
        <v>43891.765775462962</v>
      </c>
      <c r="P135" s="32" t="s">
        <v>358</v>
      </c>
      <c r="Q135" s="32" t="s">
        <v>357</v>
      </c>
      <c r="R135" s="32"/>
      <c r="S135" s="32">
        <f>Table_query__44[[#This Row],[Grant Received]]*0.95</f>
        <v>0</v>
      </c>
      <c r="T135" s="32"/>
      <c r="U135" s="32">
        <f>Table_query__44[[#This Row],[Grant Received]]*0.9</f>
        <v>0</v>
      </c>
      <c r="V135" s="32"/>
      <c r="W135" s="32">
        <f>Table_query__44[[#This Row],[Grant Received]]*0.8</f>
        <v>0</v>
      </c>
      <c r="X135" s="32"/>
    </row>
    <row r="136" spans="1:24">
      <c r="A136" s="31" t="str">
        <f>LEFT(Table_query__44[[#This Row],[Title]],(FIND(" ",Table_query__44[[#This Row],[Title]],1)-1))</f>
        <v>CTN</v>
      </c>
      <c r="B136" s="32" t="s">
        <v>441</v>
      </c>
      <c r="C136" s="32" t="s">
        <v>204</v>
      </c>
      <c r="D136" s="34">
        <v>30</v>
      </c>
      <c r="E136" s="34">
        <v>2</v>
      </c>
      <c r="F136" s="32" t="s">
        <v>441</v>
      </c>
      <c r="G136" s="34">
        <v>327.5</v>
      </c>
      <c r="H136" s="34">
        <v>95</v>
      </c>
      <c r="I136" s="34">
        <v>70</v>
      </c>
      <c r="J136" s="34">
        <v>70</v>
      </c>
      <c r="K136" s="36">
        <v>70</v>
      </c>
      <c r="L136" s="32" t="s">
        <v>361</v>
      </c>
      <c r="M136" s="32"/>
      <c r="N136" s="32" t="s">
        <v>359</v>
      </c>
      <c r="O136" s="33">
        <v>43896.870833333334</v>
      </c>
      <c r="P136" s="32" t="s">
        <v>358</v>
      </c>
      <c r="Q136" s="32" t="s">
        <v>357</v>
      </c>
      <c r="R136" s="32"/>
      <c r="S136" s="32">
        <f>Table_query__44[[#This Row],[Grant Received]]*0.95</f>
        <v>66.5</v>
      </c>
      <c r="T136" s="32"/>
      <c r="U136" s="32">
        <f>Table_query__44[[#This Row],[Grant Received]]*0.9</f>
        <v>63</v>
      </c>
      <c r="V136" s="32"/>
      <c r="W136" s="32">
        <f>Table_query__44[[#This Row],[Grant Received]]*0.8</f>
        <v>56</v>
      </c>
      <c r="X136" s="32"/>
    </row>
    <row r="137" spans="1:24">
      <c r="A137" s="31" t="str">
        <f>LEFT(Table_query__44[[#This Row],[Title]],(FIND(" ",Table_query__44[[#This Row],[Title]],1)-1))</f>
        <v>CTN</v>
      </c>
      <c r="B137" s="32" t="s">
        <v>441</v>
      </c>
      <c r="C137" s="32" t="s">
        <v>442</v>
      </c>
      <c r="D137" s="34">
        <v>0</v>
      </c>
      <c r="E137" s="34">
        <v>0</v>
      </c>
      <c r="F137" s="32" t="s">
        <v>441</v>
      </c>
      <c r="G137" s="34"/>
      <c r="H137" s="34"/>
      <c r="I137" s="34"/>
      <c r="J137" s="34"/>
      <c r="K137" s="36"/>
      <c r="L137" s="32" t="s">
        <v>361</v>
      </c>
      <c r="M137" s="32"/>
      <c r="N137" s="32" t="s">
        <v>359</v>
      </c>
      <c r="O137" s="33">
        <v>43891.766423611109</v>
      </c>
      <c r="P137" s="32" t="s">
        <v>358</v>
      </c>
      <c r="Q137" s="32" t="s">
        <v>357</v>
      </c>
      <c r="R137" s="32"/>
      <c r="S137" s="32">
        <f>Table_query__44[[#This Row],[Grant Received]]*0.95</f>
        <v>0</v>
      </c>
      <c r="T137" s="32"/>
      <c r="U137" s="32">
        <f>Table_query__44[[#This Row],[Grant Received]]*0.9</f>
        <v>0</v>
      </c>
      <c r="V137" s="32"/>
      <c r="W137" s="32">
        <f>Table_query__44[[#This Row],[Grant Received]]*0.8</f>
        <v>0</v>
      </c>
      <c r="X137" s="32"/>
    </row>
    <row r="138" spans="1:24">
      <c r="A138" s="31" t="str">
        <f>LEFT(Table_query__44[[#This Row],[Title]],(FIND(" ",Table_query__44[[#This Row],[Title]],1)-1))</f>
        <v>GSU</v>
      </c>
      <c r="B138" s="32" t="s">
        <v>365</v>
      </c>
      <c r="C138" s="32" t="s">
        <v>366</v>
      </c>
      <c r="D138" s="34"/>
      <c r="E138" s="34"/>
      <c r="F138" s="32" t="s">
        <v>365</v>
      </c>
      <c r="G138" s="34">
        <v>22600</v>
      </c>
      <c r="H138" s="34">
        <v>23600</v>
      </c>
      <c r="I138" s="34">
        <v>3300</v>
      </c>
      <c r="J138" s="34">
        <v>3300</v>
      </c>
      <c r="K138" s="36">
        <v>3300</v>
      </c>
      <c r="L138" s="32" t="s">
        <v>361</v>
      </c>
      <c r="M138" s="32" t="s">
        <v>360</v>
      </c>
      <c r="N138" s="32" t="s">
        <v>359</v>
      </c>
      <c r="O138" s="33">
        <v>43895.685150462959</v>
      </c>
      <c r="P138" s="32" t="s">
        <v>358</v>
      </c>
      <c r="Q138" s="32" t="s">
        <v>357</v>
      </c>
      <c r="R138" s="32"/>
      <c r="S138" s="32">
        <f>Table_query__44[[#This Row],[Grant Received]]*0.95</f>
        <v>3135</v>
      </c>
      <c r="T138" s="32"/>
      <c r="U138" s="32">
        <f>Table_query__44[[#This Row],[Grant Received]]*0.9</f>
        <v>2970</v>
      </c>
      <c r="V138" s="32"/>
      <c r="W138" s="32">
        <f>Table_query__44[[#This Row],[Grant Received]]*0.8</f>
        <v>2640</v>
      </c>
      <c r="X138" s="32"/>
    </row>
    <row r="139" spans="1:24">
      <c r="A139" s="31" t="str">
        <f>LEFT(Table_query__44[[#This Row],[Title]],(FIND(" ",Table_query__44[[#This Row],[Title]],1)-1))</f>
        <v>GSU</v>
      </c>
      <c r="B139" s="32" t="s">
        <v>365</v>
      </c>
      <c r="C139" s="32" t="s">
        <v>440</v>
      </c>
      <c r="D139" s="34">
        <v>14</v>
      </c>
      <c r="E139" s="34">
        <v>10</v>
      </c>
      <c r="F139" s="32" t="s">
        <v>365</v>
      </c>
      <c r="G139" s="34"/>
      <c r="H139" s="34"/>
      <c r="I139" s="34"/>
      <c r="J139" s="34"/>
      <c r="K139" s="36"/>
      <c r="L139" s="32" t="s">
        <v>361</v>
      </c>
      <c r="M139" s="32"/>
      <c r="N139" s="32" t="s">
        <v>359</v>
      </c>
      <c r="O139" s="33">
        <v>43896.794479166667</v>
      </c>
      <c r="P139" s="32" t="s">
        <v>358</v>
      </c>
      <c r="Q139" s="32" t="s">
        <v>357</v>
      </c>
      <c r="R139" s="32"/>
      <c r="S139" s="32">
        <f>Table_query__44[[#This Row],[Grant Received]]*0.95</f>
        <v>0</v>
      </c>
      <c r="T139" s="32"/>
      <c r="U139" s="32">
        <f>Table_query__44[[#This Row],[Grant Received]]*0.9</f>
        <v>0</v>
      </c>
      <c r="V139" s="32"/>
      <c r="W139" s="32">
        <f>Table_query__44[[#This Row],[Grant Received]]*0.8</f>
        <v>0</v>
      </c>
      <c r="X139" s="32"/>
    </row>
    <row r="140" spans="1:24">
      <c r="A140" s="31" t="str">
        <f>LEFT(Table_query__44[[#This Row],[Title]],(FIND(" ",Table_query__44[[#This Row],[Title]],1)-1))</f>
        <v>ICSMSU</v>
      </c>
      <c r="B140" s="32" t="s">
        <v>537</v>
      </c>
      <c r="C140" s="32" t="s">
        <v>202</v>
      </c>
      <c r="D140" s="34">
        <v>40</v>
      </c>
      <c r="E140" s="34">
        <v>3</v>
      </c>
      <c r="F140" s="32" t="s">
        <v>371</v>
      </c>
      <c r="G140" s="34">
        <v>1185</v>
      </c>
      <c r="H140" s="34">
        <v>920</v>
      </c>
      <c r="I140" s="34">
        <v>345</v>
      </c>
      <c r="J140" s="34">
        <v>275</v>
      </c>
      <c r="K140" s="36">
        <v>124.19750000000001</v>
      </c>
      <c r="L140" s="32" t="s">
        <v>361</v>
      </c>
      <c r="M140" s="32"/>
      <c r="N140" s="32" t="s">
        <v>359</v>
      </c>
      <c r="O140" s="33">
        <v>43901.691562499997</v>
      </c>
      <c r="P140" s="32" t="s">
        <v>358</v>
      </c>
      <c r="Q140" s="32" t="s">
        <v>357</v>
      </c>
      <c r="R140" s="32"/>
      <c r="S140" s="32">
        <f>Table_query__44[[#This Row],[Grant Received]]*0.95</f>
        <v>117.98762499999999</v>
      </c>
      <c r="T140" s="32"/>
      <c r="U140" s="32">
        <f>Table_query__44[[#This Row],[Grant Received]]*0.9</f>
        <v>111.77775000000001</v>
      </c>
      <c r="V140" s="32"/>
      <c r="W140" s="32">
        <f>Table_query__44[[#This Row],[Grant Received]]*0.8</f>
        <v>99.358000000000004</v>
      </c>
      <c r="X140" s="32"/>
    </row>
    <row r="141" spans="1:24">
      <c r="A141" s="31" t="str">
        <f>LEFT(Table_query__44[[#This Row],[Title]],(FIND(" ",Table_query__44[[#This Row],[Title]],1)-1))</f>
        <v>ICSMSU</v>
      </c>
      <c r="B141" s="32" t="s">
        <v>537</v>
      </c>
      <c r="C141" s="32" t="s">
        <v>439</v>
      </c>
      <c r="D141" s="34"/>
      <c r="E141" s="34"/>
      <c r="F141" s="32" t="s">
        <v>371</v>
      </c>
      <c r="G141" s="34"/>
      <c r="H141" s="34"/>
      <c r="I141" s="34"/>
      <c r="J141" s="34"/>
      <c r="K141" s="36"/>
      <c r="L141" s="32" t="s">
        <v>361</v>
      </c>
      <c r="M141" s="32"/>
      <c r="N141" s="32" t="s">
        <v>359</v>
      </c>
      <c r="O141" s="33">
        <v>43893.738333333335</v>
      </c>
      <c r="P141" s="32" t="s">
        <v>358</v>
      </c>
      <c r="Q141" s="32" t="s">
        <v>357</v>
      </c>
      <c r="R141" s="32"/>
      <c r="S141" s="32">
        <f>Table_query__44[[#This Row],[Grant Received]]*0.95</f>
        <v>0</v>
      </c>
      <c r="T141" s="32"/>
      <c r="U141" s="32">
        <f>Table_query__44[[#This Row],[Grant Received]]*0.9</f>
        <v>0</v>
      </c>
      <c r="V141" s="32"/>
      <c r="W141" s="32">
        <f>Table_query__44[[#This Row],[Grant Received]]*0.8</f>
        <v>0</v>
      </c>
      <c r="X141" s="32"/>
    </row>
    <row r="142" spans="1:24">
      <c r="A142" s="31" t="str">
        <f>LEFT(Table_query__44[[#This Row],[Title]],(FIND(" ",Table_query__44[[#This Row],[Title]],1)-1))</f>
        <v>ICSMSU</v>
      </c>
      <c r="B142" s="32" t="s">
        <v>537</v>
      </c>
      <c r="C142" s="32" t="s">
        <v>201</v>
      </c>
      <c r="D142" s="34">
        <v>50</v>
      </c>
      <c r="E142" s="34">
        <v>5</v>
      </c>
      <c r="F142" s="32" t="s">
        <v>371</v>
      </c>
      <c r="G142" s="34">
        <v>1235</v>
      </c>
      <c r="H142" s="34">
        <v>0</v>
      </c>
      <c r="I142" s="34">
        <v>1100</v>
      </c>
      <c r="J142" s="34">
        <v>0</v>
      </c>
      <c r="K142" s="36">
        <v>0</v>
      </c>
      <c r="L142" s="32" t="s">
        <v>361</v>
      </c>
      <c r="M142" s="32"/>
      <c r="N142" s="32" t="s">
        <v>359</v>
      </c>
      <c r="O142" s="33">
        <v>43893.749641203707</v>
      </c>
      <c r="P142" s="32" t="s">
        <v>358</v>
      </c>
      <c r="Q142" s="32" t="s">
        <v>357</v>
      </c>
      <c r="R142" s="32"/>
      <c r="S142" s="32">
        <f>Table_query__44[[#This Row],[Grant Received]]*0.95</f>
        <v>0</v>
      </c>
      <c r="T142" s="32"/>
      <c r="U142" s="32">
        <f>Table_query__44[[#This Row],[Grant Received]]*0.9</f>
        <v>0</v>
      </c>
      <c r="V142" s="32"/>
      <c r="W142" s="32">
        <f>Table_query__44[[#This Row],[Grant Received]]*0.8</f>
        <v>0</v>
      </c>
      <c r="X142" s="32"/>
    </row>
    <row r="143" spans="1:24">
      <c r="A143" s="31" t="str">
        <f>LEFT(Table_query__44[[#This Row],[Title]],(FIND(" ",Table_query__44[[#This Row],[Title]],1)-1))</f>
        <v>ICSMSU</v>
      </c>
      <c r="B143" s="32" t="s">
        <v>537</v>
      </c>
      <c r="C143" s="32" t="s">
        <v>200</v>
      </c>
      <c r="D143" s="34">
        <v>80</v>
      </c>
      <c r="E143" s="34">
        <v>45</v>
      </c>
      <c r="F143" s="32" t="s">
        <v>371</v>
      </c>
      <c r="G143" s="34">
        <v>17883.7</v>
      </c>
      <c r="H143" s="34">
        <v>6552</v>
      </c>
      <c r="I143" s="34">
        <v>9152.8799999999992</v>
      </c>
      <c r="J143" s="34">
        <v>7094.88</v>
      </c>
      <c r="K143" s="36">
        <v>4191.9633999999996</v>
      </c>
      <c r="L143" s="32" t="s">
        <v>361</v>
      </c>
      <c r="M143" s="32"/>
      <c r="N143" s="32" t="s">
        <v>359</v>
      </c>
      <c r="O143" s="33">
        <v>43896.871319444443</v>
      </c>
      <c r="P143" s="32" t="s">
        <v>358</v>
      </c>
      <c r="Q143" s="32" t="s">
        <v>357</v>
      </c>
      <c r="R143" s="32"/>
      <c r="S143" s="32">
        <f>Table_query__44[[#This Row],[Grant Received]]*0.95</f>
        <v>3982.3652299999994</v>
      </c>
      <c r="T143" s="32"/>
      <c r="U143" s="32">
        <f>Table_query__44[[#This Row],[Grant Received]]*0.9</f>
        <v>3772.7670599999997</v>
      </c>
      <c r="V143" s="32"/>
      <c r="W143" s="32">
        <f>Table_query__44[[#This Row],[Grant Received]]*0.8</f>
        <v>3353.5707199999997</v>
      </c>
      <c r="X143" s="32"/>
    </row>
    <row r="144" spans="1:24">
      <c r="A144" s="31" t="str">
        <f>LEFT(Table_query__44[[#This Row],[Title]],(FIND(" ",Table_query__44[[#This Row],[Title]],1)-1))</f>
        <v>ICSMSU</v>
      </c>
      <c r="B144" s="32" t="s">
        <v>537</v>
      </c>
      <c r="C144" s="32" t="s">
        <v>199</v>
      </c>
      <c r="D144" s="34"/>
      <c r="E144" s="34"/>
      <c r="F144" s="32" t="s">
        <v>371</v>
      </c>
      <c r="G144" s="34">
        <v>9800</v>
      </c>
      <c r="H144" s="34">
        <v>7277</v>
      </c>
      <c r="I144" s="34">
        <v>3220</v>
      </c>
      <c r="J144" s="34">
        <v>1530</v>
      </c>
      <c r="K144" s="36">
        <v>165</v>
      </c>
      <c r="L144" s="32" t="s">
        <v>361</v>
      </c>
      <c r="M144" s="32"/>
      <c r="N144" s="32" t="s">
        <v>359</v>
      </c>
      <c r="O144" s="33">
        <v>43893.738819444443</v>
      </c>
      <c r="P144" s="32" t="s">
        <v>358</v>
      </c>
      <c r="Q144" s="32" t="s">
        <v>357</v>
      </c>
      <c r="R144" s="32"/>
      <c r="S144" s="32">
        <f>Table_query__44[[#This Row],[Grant Received]]*0.95</f>
        <v>156.75</v>
      </c>
      <c r="T144" s="32"/>
      <c r="U144" s="32">
        <f>Table_query__44[[#This Row],[Grant Received]]*0.9</f>
        <v>148.5</v>
      </c>
      <c r="V144" s="32"/>
      <c r="W144" s="32">
        <f>Table_query__44[[#This Row],[Grant Received]]*0.8</f>
        <v>132</v>
      </c>
      <c r="X144" s="32"/>
    </row>
    <row r="145" spans="1:24">
      <c r="A145" s="31" t="str">
        <f>LEFT(Table_query__44[[#This Row],[Title]],(FIND(" ",Table_query__44[[#This Row],[Title]],1)-1))</f>
        <v>ICSMSU</v>
      </c>
      <c r="B145" s="32" t="s">
        <v>537</v>
      </c>
      <c r="C145" s="32" t="s">
        <v>198</v>
      </c>
      <c r="D145" s="34">
        <v>85</v>
      </c>
      <c r="E145" s="34">
        <v>75</v>
      </c>
      <c r="F145" s="32" t="s">
        <v>371</v>
      </c>
      <c r="G145" s="34">
        <v>25808.07</v>
      </c>
      <c r="H145" s="34">
        <v>12330</v>
      </c>
      <c r="I145" s="34">
        <v>8746.1</v>
      </c>
      <c r="J145" s="34">
        <v>8266.6</v>
      </c>
      <c r="K145" s="36">
        <v>7257.6</v>
      </c>
      <c r="L145" s="32" t="s">
        <v>361</v>
      </c>
      <c r="M145" s="32"/>
      <c r="N145" s="32" t="s">
        <v>359</v>
      </c>
      <c r="O145" s="33">
        <v>43896.871736111112</v>
      </c>
      <c r="P145" s="32" t="s">
        <v>358</v>
      </c>
      <c r="Q145" s="32" t="s">
        <v>357</v>
      </c>
      <c r="R145" s="32"/>
      <c r="S145" s="32">
        <f>Table_query__44[[#This Row],[Grant Received]]*0.95</f>
        <v>6894.72</v>
      </c>
      <c r="T145" s="32"/>
      <c r="U145" s="32">
        <f>Table_query__44[[#This Row],[Grant Received]]*0.9</f>
        <v>6531.84</v>
      </c>
      <c r="V145" s="32"/>
      <c r="W145" s="32">
        <f>Table_query__44[[#This Row],[Grant Received]]*0.8</f>
        <v>5806.0800000000008</v>
      </c>
      <c r="X145" s="32"/>
    </row>
    <row r="146" spans="1:24">
      <c r="A146" s="31" t="str">
        <f>LEFT(Table_query__44[[#This Row],[Title]],(FIND(" ",Table_query__44[[#This Row],[Title]],1)-1))</f>
        <v>ICSMSU</v>
      </c>
      <c r="B146" s="32" t="s">
        <v>537</v>
      </c>
      <c r="C146" s="32" t="s">
        <v>438</v>
      </c>
      <c r="D146" s="34"/>
      <c r="E146" s="34"/>
      <c r="F146" s="32" t="s">
        <v>371</v>
      </c>
      <c r="G146" s="34"/>
      <c r="H146" s="34"/>
      <c r="I146" s="34"/>
      <c r="J146" s="34"/>
      <c r="K146" s="36"/>
      <c r="L146" s="32" t="s">
        <v>361</v>
      </c>
      <c r="M146" s="32"/>
      <c r="N146" s="32" t="s">
        <v>359</v>
      </c>
      <c r="O146" s="33">
        <v>43893.739351851851</v>
      </c>
      <c r="P146" s="32" t="s">
        <v>358</v>
      </c>
      <c r="Q146" s="32" t="s">
        <v>357</v>
      </c>
      <c r="R146" s="32"/>
      <c r="S146" s="32">
        <f>Table_query__44[[#This Row],[Grant Received]]*0.95</f>
        <v>0</v>
      </c>
      <c r="T146" s="32"/>
      <c r="U146" s="32">
        <f>Table_query__44[[#This Row],[Grant Received]]*0.9</f>
        <v>0</v>
      </c>
      <c r="V146" s="32"/>
      <c r="W146" s="32">
        <f>Table_query__44[[#This Row],[Grant Received]]*0.8</f>
        <v>0</v>
      </c>
      <c r="X146" s="32"/>
    </row>
    <row r="147" spans="1:24">
      <c r="A147" s="31" t="str">
        <f>LEFT(Table_query__44[[#This Row],[Title]],(FIND(" ",Table_query__44[[#This Row],[Title]],1)-1))</f>
        <v>ICSMSU</v>
      </c>
      <c r="B147" s="32" t="s">
        <v>537</v>
      </c>
      <c r="C147" s="32" t="s">
        <v>437</v>
      </c>
      <c r="D147" s="34">
        <v>35</v>
      </c>
      <c r="E147" s="34">
        <v>10</v>
      </c>
      <c r="F147" s="32" t="s">
        <v>371</v>
      </c>
      <c r="G147" s="34">
        <v>2740</v>
      </c>
      <c r="H147" s="34">
        <v>300</v>
      </c>
      <c r="I147" s="34">
        <v>1940</v>
      </c>
      <c r="J147" s="34">
        <v>1300</v>
      </c>
      <c r="K147" s="36">
        <v>530</v>
      </c>
      <c r="L147" s="32" t="s">
        <v>361</v>
      </c>
      <c r="M147" s="32"/>
      <c r="N147" s="32" t="s">
        <v>359</v>
      </c>
      <c r="O147" s="33">
        <v>43893.739976851852</v>
      </c>
      <c r="P147" s="32" t="s">
        <v>358</v>
      </c>
      <c r="Q147" s="32" t="s">
        <v>357</v>
      </c>
      <c r="R147" s="32"/>
      <c r="S147" s="32">
        <f>Table_query__44[[#This Row],[Grant Received]]*0.95</f>
        <v>503.5</v>
      </c>
      <c r="T147" s="32"/>
      <c r="U147" s="32">
        <f>Table_query__44[[#This Row],[Grant Received]]*0.9</f>
        <v>477</v>
      </c>
      <c r="V147" s="32"/>
      <c r="W147" s="32">
        <f>Table_query__44[[#This Row],[Grant Received]]*0.8</f>
        <v>424</v>
      </c>
      <c r="X147" s="32"/>
    </row>
    <row r="148" spans="1:24">
      <c r="A148" s="31" t="str">
        <f>LEFT(Table_query__44[[#This Row],[Title]],(FIND(" ",Table_query__44[[#This Row],[Title]],1)-1))</f>
        <v>ICSMSU</v>
      </c>
      <c r="B148" s="32" t="s">
        <v>537</v>
      </c>
      <c r="C148" s="32" t="s">
        <v>196</v>
      </c>
      <c r="D148" s="34">
        <v>71</v>
      </c>
      <c r="E148" s="34">
        <v>2</v>
      </c>
      <c r="F148" s="32" t="s">
        <v>371</v>
      </c>
      <c r="G148" s="34">
        <v>2110</v>
      </c>
      <c r="H148" s="34">
        <v>1820</v>
      </c>
      <c r="I148" s="34">
        <v>1070</v>
      </c>
      <c r="J148" s="34">
        <v>980</v>
      </c>
      <c r="K148" s="36">
        <v>173.8</v>
      </c>
      <c r="L148" s="32" t="s">
        <v>361</v>
      </c>
      <c r="M148" s="32"/>
      <c r="N148" s="32" t="s">
        <v>359</v>
      </c>
      <c r="O148" s="33">
        <v>43901.693865740737</v>
      </c>
      <c r="P148" s="32" t="s">
        <v>358</v>
      </c>
      <c r="Q148" s="32" t="s">
        <v>357</v>
      </c>
      <c r="R148" s="32"/>
      <c r="S148" s="32">
        <f>Table_query__44[[#This Row],[Grant Received]]*0.95</f>
        <v>165.11</v>
      </c>
      <c r="T148" s="32"/>
      <c r="U148" s="32">
        <f>Table_query__44[[#This Row],[Grant Received]]*0.9</f>
        <v>156.42000000000002</v>
      </c>
      <c r="V148" s="32"/>
      <c r="W148" s="32">
        <f>Table_query__44[[#This Row],[Grant Received]]*0.8</f>
        <v>139.04000000000002</v>
      </c>
      <c r="X148" s="32"/>
    </row>
    <row r="149" spans="1:24">
      <c r="A149" s="31" t="str">
        <f>LEFT(Table_query__44[[#This Row],[Title]],(FIND(" ",Table_query__44[[#This Row],[Title]],1)-1))</f>
        <v>ICSMSU</v>
      </c>
      <c r="B149" s="32" t="s">
        <v>537</v>
      </c>
      <c r="C149" s="32" t="s">
        <v>195</v>
      </c>
      <c r="D149" s="34">
        <v>40</v>
      </c>
      <c r="E149" s="34">
        <v>2</v>
      </c>
      <c r="F149" s="32" t="s">
        <v>371</v>
      </c>
      <c r="G149" s="34">
        <v>314</v>
      </c>
      <c r="H149" s="34">
        <v>70</v>
      </c>
      <c r="I149" s="34">
        <v>85</v>
      </c>
      <c r="J149" s="34">
        <v>85</v>
      </c>
      <c r="K149" s="36">
        <v>42.5</v>
      </c>
      <c r="L149" s="32" t="s">
        <v>361</v>
      </c>
      <c r="M149" s="32"/>
      <c r="N149" s="32" t="s">
        <v>359</v>
      </c>
      <c r="O149" s="33">
        <v>43906.457002314812</v>
      </c>
      <c r="P149" s="32" t="s">
        <v>358</v>
      </c>
      <c r="Q149" s="32" t="s">
        <v>357</v>
      </c>
      <c r="R149" s="32"/>
      <c r="S149" s="32">
        <f>Table_query__44[[#This Row],[Grant Received]]*0.95</f>
        <v>40.375</v>
      </c>
      <c r="T149" s="32"/>
      <c r="U149" s="32">
        <f>Table_query__44[[#This Row],[Grant Received]]*0.9</f>
        <v>38.25</v>
      </c>
      <c r="V149" s="32"/>
      <c r="W149" s="32">
        <f>Table_query__44[[#This Row],[Grant Received]]*0.8</f>
        <v>34</v>
      </c>
      <c r="X149" s="32"/>
    </row>
    <row r="150" spans="1:24">
      <c r="A150" s="31" t="str">
        <f>LEFT(Table_query__44[[#This Row],[Title]],(FIND(" ",Table_query__44[[#This Row],[Title]],1)-1))</f>
        <v>ICSMSU</v>
      </c>
      <c r="B150" s="32" t="s">
        <v>537</v>
      </c>
      <c r="C150" s="32" t="s">
        <v>194</v>
      </c>
      <c r="D150" s="34">
        <v>40</v>
      </c>
      <c r="E150" s="34">
        <v>25</v>
      </c>
      <c r="F150" s="32" t="s">
        <v>371</v>
      </c>
      <c r="G150" s="34">
        <v>7035</v>
      </c>
      <c r="H150" s="34">
        <v>4902.96</v>
      </c>
      <c r="I150" s="34">
        <v>2481</v>
      </c>
      <c r="J150" s="34">
        <v>1881</v>
      </c>
      <c r="K150" s="36">
        <v>1302.7167999999999</v>
      </c>
      <c r="L150" s="32" t="s">
        <v>361</v>
      </c>
      <c r="M150" s="32"/>
      <c r="N150" s="32" t="s">
        <v>359</v>
      </c>
      <c r="O150" s="33">
        <v>43901.695497685185</v>
      </c>
      <c r="P150" s="32" t="s">
        <v>358</v>
      </c>
      <c r="Q150" s="32" t="s">
        <v>357</v>
      </c>
      <c r="R150" s="32"/>
      <c r="S150" s="32">
        <f>Table_query__44[[#This Row],[Grant Received]]*0.95</f>
        <v>1237.5809599999998</v>
      </c>
      <c r="T150" s="32"/>
      <c r="U150" s="32">
        <f>Table_query__44[[#This Row],[Grant Received]]*0.9</f>
        <v>1172.4451199999999</v>
      </c>
      <c r="V150" s="32"/>
      <c r="W150" s="32">
        <f>Table_query__44[[#This Row],[Grant Received]]*0.8</f>
        <v>1042.17344</v>
      </c>
      <c r="X150" s="32"/>
    </row>
    <row r="151" spans="1:24">
      <c r="A151" s="31" t="str">
        <f>LEFT(Table_query__44[[#This Row],[Title]],(FIND(" ",Table_query__44[[#This Row],[Title]],1)-1))</f>
        <v>ICSMSU</v>
      </c>
      <c r="B151" s="32" t="s">
        <v>537</v>
      </c>
      <c r="C151" s="32" t="s">
        <v>193</v>
      </c>
      <c r="D151" s="34">
        <v>20</v>
      </c>
      <c r="E151" s="34">
        <v>10</v>
      </c>
      <c r="F151" s="32" t="s">
        <v>371</v>
      </c>
      <c r="G151" s="34">
        <v>3535</v>
      </c>
      <c r="H151" s="34">
        <v>1730</v>
      </c>
      <c r="I151" s="34">
        <v>1800</v>
      </c>
      <c r="J151" s="34">
        <v>1650</v>
      </c>
      <c r="K151" s="36">
        <v>995</v>
      </c>
      <c r="L151" s="32" t="s">
        <v>361</v>
      </c>
      <c r="M151" s="32"/>
      <c r="N151" s="32" t="s">
        <v>359</v>
      </c>
      <c r="O151" s="33">
        <v>43893.423252314817</v>
      </c>
      <c r="P151" s="32" t="s">
        <v>358</v>
      </c>
      <c r="Q151" s="32" t="s">
        <v>357</v>
      </c>
      <c r="R151" s="32"/>
      <c r="S151" s="32">
        <f>Table_query__44[[#This Row],[Grant Received]]*0.95</f>
        <v>945.25</v>
      </c>
      <c r="T151" s="32"/>
      <c r="U151" s="32">
        <f>Table_query__44[[#This Row],[Grant Received]]*0.9</f>
        <v>895.5</v>
      </c>
      <c r="V151" s="32"/>
      <c r="W151" s="32">
        <f>Table_query__44[[#This Row],[Grant Received]]*0.8</f>
        <v>796</v>
      </c>
      <c r="X151" s="32"/>
    </row>
    <row r="152" spans="1:24">
      <c r="A152" s="31" t="str">
        <f>LEFT(Table_query__44[[#This Row],[Title]],(FIND(" ",Table_query__44[[#This Row],[Title]],1)-1))</f>
        <v>ICSMSU</v>
      </c>
      <c r="B152" s="32" t="s">
        <v>537</v>
      </c>
      <c r="C152" s="32" t="s">
        <v>192</v>
      </c>
      <c r="D152" s="34"/>
      <c r="E152" s="34"/>
      <c r="F152" s="32" t="s">
        <v>371</v>
      </c>
      <c r="G152" s="34"/>
      <c r="H152" s="34"/>
      <c r="I152" s="34"/>
      <c r="J152" s="34"/>
      <c r="K152" s="36"/>
      <c r="L152" s="32" t="s">
        <v>361</v>
      </c>
      <c r="M152" s="32"/>
      <c r="N152" s="32" t="s">
        <v>359</v>
      </c>
      <c r="O152" s="33">
        <v>43893.74015046296</v>
      </c>
      <c r="P152" s="32" t="s">
        <v>358</v>
      </c>
      <c r="Q152" s="32" t="s">
        <v>357</v>
      </c>
      <c r="R152" s="32"/>
      <c r="S152" s="32">
        <f>Table_query__44[[#This Row],[Grant Received]]*0.95</f>
        <v>0</v>
      </c>
      <c r="T152" s="32"/>
      <c r="U152" s="32">
        <f>Table_query__44[[#This Row],[Grant Received]]*0.9</f>
        <v>0</v>
      </c>
      <c r="V152" s="32"/>
      <c r="W152" s="32">
        <f>Table_query__44[[#This Row],[Grant Received]]*0.8</f>
        <v>0</v>
      </c>
      <c r="X152" s="32"/>
    </row>
    <row r="153" spans="1:24">
      <c r="A153" s="31" t="str">
        <f>LEFT(Table_query__44[[#This Row],[Title]],(FIND(" ",Table_query__44[[#This Row],[Title]],1)-1))</f>
        <v>ICSMSU</v>
      </c>
      <c r="B153" s="32" t="s">
        <v>537</v>
      </c>
      <c r="C153" s="32" t="s">
        <v>191</v>
      </c>
      <c r="D153" s="34">
        <v>60</v>
      </c>
      <c r="E153" s="34">
        <v>10</v>
      </c>
      <c r="F153" s="32" t="s">
        <v>371</v>
      </c>
      <c r="G153" s="34">
        <v>7002</v>
      </c>
      <c r="H153" s="34">
        <v>6030</v>
      </c>
      <c r="I153" s="34">
        <v>800</v>
      </c>
      <c r="J153" s="34">
        <v>800</v>
      </c>
      <c r="K153" s="36">
        <v>561.27099999999996</v>
      </c>
      <c r="L153" s="32" t="s">
        <v>361</v>
      </c>
      <c r="M153" s="32"/>
      <c r="N153" s="32" t="s">
        <v>359</v>
      </c>
      <c r="O153" s="33">
        <v>43901.696145833332</v>
      </c>
      <c r="P153" s="32" t="s">
        <v>358</v>
      </c>
      <c r="Q153" s="32" t="s">
        <v>357</v>
      </c>
      <c r="R153" s="32"/>
      <c r="S153" s="32">
        <f>Table_query__44[[#This Row],[Grant Received]]*0.95</f>
        <v>533.20744999999988</v>
      </c>
      <c r="T153" s="32"/>
      <c r="U153" s="32">
        <f>Table_query__44[[#This Row],[Grant Received]]*0.9</f>
        <v>505.14389999999997</v>
      </c>
      <c r="V153" s="32"/>
      <c r="W153" s="32">
        <f>Table_query__44[[#This Row],[Grant Received]]*0.8</f>
        <v>449.01679999999999</v>
      </c>
      <c r="X153" s="32"/>
    </row>
    <row r="154" spans="1:24">
      <c r="A154" s="31" t="str">
        <f>LEFT(Table_query__44[[#This Row],[Title]],(FIND(" ",Table_query__44[[#This Row],[Title]],1)-1))</f>
        <v>ICSMSU</v>
      </c>
      <c r="B154" s="32" t="s">
        <v>537</v>
      </c>
      <c r="C154" s="32" t="s">
        <v>190</v>
      </c>
      <c r="D154" s="34"/>
      <c r="E154" s="34"/>
      <c r="F154" s="32" t="s">
        <v>371</v>
      </c>
      <c r="G154" s="34">
        <v>128147</v>
      </c>
      <c r="H154" s="34">
        <v>122451</v>
      </c>
      <c r="I154" s="34">
        <v>5302</v>
      </c>
      <c r="J154" s="34">
        <v>5302</v>
      </c>
      <c r="K154" s="36">
        <v>5302</v>
      </c>
      <c r="L154" s="32" t="s">
        <v>361</v>
      </c>
      <c r="M154" s="32" t="s">
        <v>360</v>
      </c>
      <c r="N154" s="32" t="s">
        <v>359</v>
      </c>
      <c r="O154" s="33">
        <v>43897.693819444445</v>
      </c>
      <c r="P154" s="32" t="s">
        <v>358</v>
      </c>
      <c r="Q154" s="32" t="s">
        <v>357</v>
      </c>
      <c r="R154" s="32"/>
      <c r="S154" s="32">
        <f>Table_query__44[[#This Row],[Grant Received]]*0.95</f>
        <v>5036.8999999999996</v>
      </c>
      <c r="T154" s="32"/>
      <c r="U154" s="32">
        <f>Table_query__44[[#This Row],[Grant Received]]*0.9</f>
        <v>4771.8</v>
      </c>
      <c r="V154" s="32"/>
      <c r="W154" s="32">
        <f>Table_query__44[[#This Row],[Grant Received]]*0.8</f>
        <v>4241.6000000000004</v>
      </c>
      <c r="X154" s="32"/>
    </row>
    <row r="155" spans="1:24">
      <c r="A155" s="31" t="str">
        <f>LEFT(Table_query__44[[#This Row],[Title]],(FIND(" ",Table_query__44[[#This Row],[Title]],1)-1))</f>
        <v>ICSMSU</v>
      </c>
      <c r="B155" s="32" t="s">
        <v>537</v>
      </c>
      <c r="C155" s="32" t="s">
        <v>189</v>
      </c>
      <c r="D155" s="34">
        <v>80</v>
      </c>
      <c r="E155" s="34">
        <v>50</v>
      </c>
      <c r="F155" s="32" t="s">
        <v>371</v>
      </c>
      <c r="G155" s="34">
        <v>15330.38</v>
      </c>
      <c r="H155" s="34">
        <v>6032</v>
      </c>
      <c r="I155" s="34">
        <v>6772.38</v>
      </c>
      <c r="J155" s="34">
        <v>6722.38</v>
      </c>
      <c r="K155" s="36">
        <v>4337.6279999999997</v>
      </c>
      <c r="L155" s="32" t="s">
        <v>361</v>
      </c>
      <c r="M155" s="32"/>
      <c r="N155" s="32" t="s">
        <v>359</v>
      </c>
      <c r="O155" s="33">
        <v>43896.87327546296</v>
      </c>
      <c r="P155" s="32" t="s">
        <v>358</v>
      </c>
      <c r="Q155" s="32" t="s">
        <v>357</v>
      </c>
      <c r="R155" s="32"/>
      <c r="S155" s="32">
        <f>Table_query__44[[#This Row],[Grant Received]]*0.95</f>
        <v>4120.7465999999995</v>
      </c>
      <c r="T155" s="32"/>
      <c r="U155" s="32">
        <f>Table_query__44[[#This Row],[Grant Received]]*0.9</f>
        <v>3903.8651999999997</v>
      </c>
      <c r="V155" s="32"/>
      <c r="W155" s="32">
        <f>Table_query__44[[#This Row],[Grant Received]]*0.8</f>
        <v>3470.1023999999998</v>
      </c>
      <c r="X155" s="32"/>
    </row>
    <row r="156" spans="1:24">
      <c r="A156" s="31" t="str">
        <f>LEFT(Table_query__44[[#This Row],[Title]],(FIND(" ",Table_query__44[[#This Row],[Title]],1)-1))</f>
        <v>ICSMSU</v>
      </c>
      <c r="B156" s="32" t="s">
        <v>537</v>
      </c>
      <c r="C156" s="32" t="s">
        <v>513</v>
      </c>
      <c r="D156" s="34">
        <v>400</v>
      </c>
      <c r="E156" s="34">
        <v>0</v>
      </c>
      <c r="F156" s="32" t="s">
        <v>371</v>
      </c>
      <c r="G156" s="34">
        <v>7280</v>
      </c>
      <c r="H156" s="34">
        <v>6885</v>
      </c>
      <c r="I156" s="34">
        <v>518</v>
      </c>
      <c r="J156" s="34">
        <v>0</v>
      </c>
      <c r="K156" s="36">
        <v>0</v>
      </c>
      <c r="L156" s="32" t="s">
        <v>361</v>
      </c>
      <c r="M156" s="32"/>
      <c r="N156" s="32" t="s">
        <v>359</v>
      </c>
      <c r="O156" s="33">
        <v>43892.578043981484</v>
      </c>
      <c r="P156" s="32" t="s">
        <v>358</v>
      </c>
      <c r="Q156" s="32" t="s">
        <v>357</v>
      </c>
      <c r="R156" s="32"/>
      <c r="S156" s="32">
        <f>Table_query__44[[#This Row],[Grant Received]]*0.95</f>
        <v>0</v>
      </c>
      <c r="T156" s="32"/>
      <c r="U156" s="32">
        <f>Table_query__44[[#This Row],[Grant Received]]*0.9</f>
        <v>0</v>
      </c>
      <c r="V156" s="32"/>
      <c r="W156" s="32">
        <f>Table_query__44[[#This Row],[Grant Received]]*0.8</f>
        <v>0</v>
      </c>
      <c r="X156" s="32"/>
    </row>
    <row r="157" spans="1:24">
      <c r="A157" s="31" t="str">
        <f>LEFT(Table_query__44[[#This Row],[Title]],(FIND(" ",Table_query__44[[#This Row],[Title]],1)-1))</f>
        <v>ICSMSU</v>
      </c>
      <c r="B157" s="32" t="s">
        <v>537</v>
      </c>
      <c r="C157" s="32" t="s">
        <v>187</v>
      </c>
      <c r="D157" s="34"/>
      <c r="E157" s="34"/>
      <c r="F157" s="32" t="s">
        <v>371</v>
      </c>
      <c r="G157" s="34"/>
      <c r="H157" s="34"/>
      <c r="I157" s="34"/>
      <c r="J157" s="34"/>
      <c r="K157" s="36"/>
      <c r="L157" s="32" t="s">
        <v>361</v>
      </c>
      <c r="M157" s="32"/>
      <c r="N157" s="32" t="s">
        <v>359</v>
      </c>
      <c r="O157" s="33">
        <v>43893.740254629629</v>
      </c>
      <c r="P157" s="32" t="s">
        <v>358</v>
      </c>
      <c r="Q157" s="32" t="s">
        <v>357</v>
      </c>
      <c r="R157" s="32"/>
      <c r="S157" s="32">
        <f>Table_query__44[[#This Row],[Grant Received]]*0.95</f>
        <v>0</v>
      </c>
      <c r="T157" s="32"/>
      <c r="U157" s="32">
        <f>Table_query__44[[#This Row],[Grant Received]]*0.9</f>
        <v>0</v>
      </c>
      <c r="V157" s="32"/>
      <c r="W157" s="32">
        <f>Table_query__44[[#This Row],[Grant Received]]*0.8</f>
        <v>0</v>
      </c>
      <c r="X157" s="32"/>
    </row>
    <row r="158" spans="1:24">
      <c r="A158" s="31" t="str">
        <f>LEFT(Table_query__44[[#This Row],[Title]],(FIND(" ",Table_query__44[[#This Row],[Title]],1)-1))</f>
        <v>ICSMSU</v>
      </c>
      <c r="B158" s="32" t="s">
        <v>537</v>
      </c>
      <c r="C158" s="32" t="s">
        <v>500</v>
      </c>
      <c r="D158" s="34">
        <v>100</v>
      </c>
      <c r="E158" s="34">
        <v>0</v>
      </c>
      <c r="F158" s="32" t="s">
        <v>371</v>
      </c>
      <c r="G158" s="34">
        <v>95</v>
      </c>
      <c r="H158" s="34">
        <v>150</v>
      </c>
      <c r="I158" s="34">
        <v>0</v>
      </c>
      <c r="J158" s="34"/>
      <c r="K158" s="36"/>
      <c r="L158" s="32" t="s">
        <v>361</v>
      </c>
      <c r="M158" s="32"/>
      <c r="N158" s="32" t="s">
        <v>359</v>
      </c>
      <c r="O158" s="33">
        <v>43895.693993055553</v>
      </c>
      <c r="P158" s="32" t="s">
        <v>358</v>
      </c>
      <c r="Q158" s="32" t="s">
        <v>357</v>
      </c>
      <c r="R158" s="32"/>
      <c r="S158" s="32">
        <f>Table_query__44[[#This Row],[Grant Received]]*0.95</f>
        <v>0</v>
      </c>
      <c r="T158" s="32"/>
      <c r="U158" s="32">
        <f>Table_query__44[[#This Row],[Grant Received]]*0.9</f>
        <v>0</v>
      </c>
      <c r="V158" s="32"/>
      <c r="W158" s="32">
        <f>Table_query__44[[#This Row],[Grant Received]]*0.8</f>
        <v>0</v>
      </c>
      <c r="X158" s="32"/>
    </row>
    <row r="159" spans="1:24">
      <c r="A159" s="31" t="str">
        <f>LEFT(Table_query__44[[#This Row],[Title]],(FIND(" ",Table_query__44[[#This Row],[Title]],1)-1))</f>
        <v>ICSMSU</v>
      </c>
      <c r="B159" s="32" t="s">
        <v>537</v>
      </c>
      <c r="C159" s="32" t="s">
        <v>510</v>
      </c>
      <c r="D159" s="34">
        <v>25</v>
      </c>
      <c r="E159" s="34">
        <v>2</v>
      </c>
      <c r="F159" s="32" t="s">
        <v>371</v>
      </c>
      <c r="G159" s="34">
        <v>185</v>
      </c>
      <c r="H159" s="34">
        <v>0</v>
      </c>
      <c r="I159" s="34">
        <v>100</v>
      </c>
      <c r="J159" s="34">
        <v>50</v>
      </c>
      <c r="K159" s="36">
        <v>25</v>
      </c>
      <c r="L159" s="32" t="s">
        <v>361</v>
      </c>
      <c r="M159" s="32"/>
      <c r="N159" s="32" t="s">
        <v>359</v>
      </c>
      <c r="O159" s="33">
        <v>43893.422650462962</v>
      </c>
      <c r="P159" s="32" t="s">
        <v>358</v>
      </c>
      <c r="Q159" s="32" t="s">
        <v>357</v>
      </c>
      <c r="R159" s="32"/>
      <c r="S159" s="32">
        <f>Table_query__44[[#This Row],[Grant Received]]*0.95</f>
        <v>23.75</v>
      </c>
      <c r="T159" s="32"/>
      <c r="U159" s="32">
        <f>Table_query__44[[#This Row],[Grant Received]]*0.9</f>
        <v>22.5</v>
      </c>
      <c r="V159" s="32"/>
      <c r="W159" s="32">
        <f>Table_query__44[[#This Row],[Grant Received]]*0.8</f>
        <v>20</v>
      </c>
      <c r="X159" s="32"/>
    </row>
    <row r="160" spans="1:24">
      <c r="A160" s="31" t="str">
        <f>LEFT(Table_query__44[[#This Row],[Title]],(FIND(" ",Table_query__44[[#This Row],[Title]],1)-1))</f>
        <v>ICSMSU</v>
      </c>
      <c r="B160" s="32" t="s">
        <v>537</v>
      </c>
      <c r="C160" s="32" t="s">
        <v>436</v>
      </c>
      <c r="D160" s="34"/>
      <c r="E160" s="34"/>
      <c r="F160" s="32" t="s">
        <v>371</v>
      </c>
      <c r="G160" s="34"/>
      <c r="H160" s="34"/>
      <c r="I160" s="34"/>
      <c r="J160" s="34"/>
      <c r="K160" s="36"/>
      <c r="L160" s="32" t="s">
        <v>361</v>
      </c>
      <c r="M160" s="32"/>
      <c r="N160" s="32" t="s">
        <v>359</v>
      </c>
      <c r="O160" s="33">
        <v>43893.740347222221</v>
      </c>
      <c r="P160" s="32" t="s">
        <v>358</v>
      </c>
      <c r="Q160" s="32" t="s">
        <v>357</v>
      </c>
      <c r="R160" s="32"/>
      <c r="S160" s="32">
        <f>Table_query__44[[#This Row],[Grant Received]]*0.95</f>
        <v>0</v>
      </c>
      <c r="T160" s="32"/>
      <c r="U160" s="32">
        <f>Table_query__44[[#This Row],[Grant Received]]*0.9</f>
        <v>0</v>
      </c>
      <c r="V160" s="32"/>
      <c r="W160" s="32">
        <f>Table_query__44[[#This Row],[Grant Received]]*0.8</f>
        <v>0</v>
      </c>
      <c r="X160" s="32"/>
    </row>
    <row r="161" spans="1:24">
      <c r="A161" s="31" t="str">
        <f>LEFT(Table_query__44[[#This Row],[Title]],(FIND(" ",Table_query__44[[#This Row],[Title]],1)-1))</f>
        <v>ICSMSU</v>
      </c>
      <c r="B161" s="32" t="s">
        <v>537</v>
      </c>
      <c r="C161" s="32" t="s">
        <v>435</v>
      </c>
      <c r="D161" s="34">
        <v>30</v>
      </c>
      <c r="E161" s="34">
        <v>3</v>
      </c>
      <c r="F161" s="32" t="s">
        <v>371</v>
      </c>
      <c r="G161" s="34">
        <v>1565</v>
      </c>
      <c r="H161" s="34">
        <v>2000</v>
      </c>
      <c r="I161" s="34">
        <v>150</v>
      </c>
      <c r="J161" s="34">
        <v>150</v>
      </c>
      <c r="K161" s="36">
        <v>51</v>
      </c>
      <c r="L161" s="32" t="s">
        <v>361</v>
      </c>
      <c r="M161" s="32"/>
      <c r="N161" s="32" t="s">
        <v>359</v>
      </c>
      <c r="O161" s="33">
        <v>43906.457407407404</v>
      </c>
      <c r="P161" s="32" t="s">
        <v>358</v>
      </c>
      <c r="Q161" s="32" t="s">
        <v>357</v>
      </c>
      <c r="R161" s="32"/>
      <c r="S161" s="32">
        <f>Table_query__44[[#This Row],[Grant Received]]*0.95</f>
        <v>48.449999999999996</v>
      </c>
      <c r="T161" s="32"/>
      <c r="U161" s="32">
        <f>Table_query__44[[#This Row],[Grant Received]]*0.9</f>
        <v>45.9</v>
      </c>
      <c r="V161" s="32"/>
      <c r="W161" s="32">
        <f>Table_query__44[[#This Row],[Grant Received]]*0.8</f>
        <v>40.800000000000004</v>
      </c>
      <c r="X161" s="32"/>
    </row>
    <row r="162" spans="1:24">
      <c r="A162" s="31" t="str">
        <f>LEFT(Table_query__44[[#This Row],[Title]],(FIND(" ",Table_query__44[[#This Row],[Title]],1)-1))</f>
        <v>ICSMSU</v>
      </c>
      <c r="B162" s="32" t="s">
        <v>537</v>
      </c>
      <c r="C162" s="32" t="s">
        <v>186</v>
      </c>
      <c r="D162" s="34">
        <v>55</v>
      </c>
      <c r="E162" s="34">
        <v>70</v>
      </c>
      <c r="F162" s="32" t="s">
        <v>371</v>
      </c>
      <c r="G162" s="34">
        <v>12500.22</v>
      </c>
      <c r="H162" s="34">
        <v>2550</v>
      </c>
      <c r="I162" s="34">
        <v>6700</v>
      </c>
      <c r="J162" s="34">
        <v>6700</v>
      </c>
      <c r="K162" s="36">
        <v>6475.6827999999996</v>
      </c>
      <c r="L162" s="32" t="s">
        <v>361</v>
      </c>
      <c r="M162" s="32"/>
      <c r="N162" s="32" t="s">
        <v>359</v>
      </c>
      <c r="O162" s="33">
        <v>43896.874143518522</v>
      </c>
      <c r="P162" s="32" t="s">
        <v>358</v>
      </c>
      <c r="Q162" s="32" t="s">
        <v>357</v>
      </c>
      <c r="R162" s="32"/>
      <c r="S162" s="32">
        <f>Table_query__44[[#This Row],[Grant Received]]*0.95</f>
        <v>6151.8986599999989</v>
      </c>
      <c r="T162" s="32"/>
      <c r="U162" s="32">
        <f>Table_query__44[[#This Row],[Grant Received]]*0.9</f>
        <v>5828.1145200000001</v>
      </c>
      <c r="V162" s="32"/>
      <c r="W162" s="32">
        <f>Table_query__44[[#This Row],[Grant Received]]*0.8</f>
        <v>5180.5462399999997</v>
      </c>
      <c r="X162" s="32"/>
    </row>
    <row r="163" spans="1:24">
      <c r="A163" s="31" t="str">
        <f>LEFT(Table_query__44[[#This Row],[Title]],(FIND(" ",Table_query__44[[#This Row],[Title]],1)-1))</f>
        <v>ICSMSU</v>
      </c>
      <c r="B163" s="32" t="s">
        <v>537</v>
      </c>
      <c r="C163" s="32" t="s">
        <v>434</v>
      </c>
      <c r="D163" s="34">
        <v>40</v>
      </c>
      <c r="E163" s="34">
        <v>0</v>
      </c>
      <c r="F163" s="32" t="s">
        <v>371</v>
      </c>
      <c r="G163" s="34">
        <v>2787.6</v>
      </c>
      <c r="H163" s="34">
        <v>2367.6</v>
      </c>
      <c r="I163" s="34">
        <v>420</v>
      </c>
      <c r="J163" s="34">
        <v>0</v>
      </c>
      <c r="K163" s="36">
        <v>0</v>
      </c>
      <c r="L163" s="32" t="s">
        <v>361</v>
      </c>
      <c r="M163" s="32"/>
      <c r="N163" s="32" t="s">
        <v>359</v>
      </c>
      <c r="O163" s="33">
        <v>43893.743564814817</v>
      </c>
      <c r="P163" s="32" t="s">
        <v>358</v>
      </c>
      <c r="Q163" s="32" t="s">
        <v>357</v>
      </c>
      <c r="R163" s="32"/>
      <c r="S163" s="32">
        <f>Table_query__44[[#This Row],[Grant Received]]*0.95</f>
        <v>0</v>
      </c>
      <c r="T163" s="32"/>
      <c r="U163" s="32">
        <f>Table_query__44[[#This Row],[Grant Received]]*0.9</f>
        <v>0</v>
      </c>
      <c r="V163" s="32"/>
      <c r="W163" s="32">
        <f>Table_query__44[[#This Row],[Grant Received]]*0.8</f>
        <v>0</v>
      </c>
      <c r="X163" s="32"/>
    </row>
    <row r="164" spans="1:24">
      <c r="A164" s="31" t="str">
        <f>LEFT(Table_query__44[[#This Row],[Title]],(FIND(" ",Table_query__44[[#This Row],[Title]],1)-1))</f>
        <v>ICSMSU</v>
      </c>
      <c r="B164" s="32" t="s">
        <v>537</v>
      </c>
      <c r="C164" s="32" t="s">
        <v>507</v>
      </c>
      <c r="D164" s="34">
        <v>100</v>
      </c>
      <c r="E164" s="34">
        <v>0</v>
      </c>
      <c r="F164" s="32" t="s">
        <v>371</v>
      </c>
      <c r="G164" s="34">
        <v>0</v>
      </c>
      <c r="H164" s="34">
        <v>0</v>
      </c>
      <c r="I164" s="34">
        <v>0</v>
      </c>
      <c r="J164" s="34"/>
      <c r="K164" s="36"/>
      <c r="L164" s="32" t="s">
        <v>361</v>
      </c>
      <c r="M164" s="32"/>
      <c r="N164" s="32" t="s">
        <v>359</v>
      </c>
      <c r="O164" s="33">
        <v>43893.444803240738</v>
      </c>
      <c r="P164" s="32" t="s">
        <v>358</v>
      </c>
      <c r="Q164" s="32" t="s">
        <v>357</v>
      </c>
      <c r="R164" s="32"/>
      <c r="S164" s="32">
        <f>Table_query__44[[#This Row],[Grant Received]]*0.95</f>
        <v>0</v>
      </c>
      <c r="T164" s="32"/>
      <c r="U164" s="32">
        <f>Table_query__44[[#This Row],[Grant Received]]*0.9</f>
        <v>0</v>
      </c>
      <c r="V164" s="32"/>
      <c r="W164" s="32">
        <f>Table_query__44[[#This Row],[Grant Received]]*0.8</f>
        <v>0</v>
      </c>
      <c r="X164" s="32"/>
    </row>
    <row r="165" spans="1:24">
      <c r="A165" s="31" t="str">
        <f>LEFT(Table_query__44[[#This Row],[Title]],(FIND(" ",Table_query__44[[#This Row],[Title]],1)-1))</f>
        <v>ICSMSU</v>
      </c>
      <c r="B165" s="32" t="s">
        <v>537</v>
      </c>
      <c r="C165" s="32" t="s">
        <v>185</v>
      </c>
      <c r="D165" s="34">
        <v>22</v>
      </c>
      <c r="E165" s="34">
        <v>20</v>
      </c>
      <c r="F165" s="32" t="s">
        <v>371</v>
      </c>
      <c r="G165" s="34">
        <v>4515</v>
      </c>
      <c r="H165" s="34">
        <v>3692.5</v>
      </c>
      <c r="I165" s="34">
        <v>1025</v>
      </c>
      <c r="J165" s="34">
        <v>1025</v>
      </c>
      <c r="K165" s="36">
        <v>733.28499999999997</v>
      </c>
      <c r="L165" s="32" t="s">
        <v>361</v>
      </c>
      <c r="M165" s="32"/>
      <c r="N165" s="32" t="s">
        <v>359</v>
      </c>
      <c r="O165" s="33">
        <v>43901.699918981481</v>
      </c>
      <c r="P165" s="32" t="s">
        <v>358</v>
      </c>
      <c r="Q165" s="32" t="s">
        <v>357</v>
      </c>
      <c r="R165" s="32"/>
      <c r="S165" s="32">
        <f>Table_query__44[[#This Row],[Grant Received]]*0.95</f>
        <v>696.62074999999993</v>
      </c>
      <c r="T165" s="32"/>
      <c r="U165" s="32">
        <f>Table_query__44[[#This Row],[Grant Received]]*0.9</f>
        <v>659.95650000000001</v>
      </c>
      <c r="V165" s="32"/>
      <c r="W165" s="32">
        <f>Table_query__44[[#This Row],[Grant Received]]*0.8</f>
        <v>586.62800000000004</v>
      </c>
      <c r="X165" s="32"/>
    </row>
    <row r="166" spans="1:24">
      <c r="A166" s="31" t="str">
        <f>LEFT(Table_query__44[[#This Row],[Title]],(FIND(" ",Table_query__44[[#This Row],[Title]],1)-1))</f>
        <v>ICSMSU</v>
      </c>
      <c r="B166" s="32" t="s">
        <v>537</v>
      </c>
      <c r="C166" s="32" t="s">
        <v>184</v>
      </c>
      <c r="D166" s="34">
        <v>80</v>
      </c>
      <c r="E166" s="34">
        <v>60</v>
      </c>
      <c r="F166" s="32" t="s">
        <v>371</v>
      </c>
      <c r="G166" s="34">
        <v>31135</v>
      </c>
      <c r="H166" s="34">
        <v>19685</v>
      </c>
      <c r="I166" s="34">
        <v>9515</v>
      </c>
      <c r="J166" s="34">
        <v>9440</v>
      </c>
      <c r="K166" s="36">
        <v>7307</v>
      </c>
      <c r="L166" s="32" t="s">
        <v>361</v>
      </c>
      <c r="M166" s="32"/>
      <c r="N166" s="32" t="s">
        <v>359</v>
      </c>
      <c r="O166" s="33">
        <v>43893.655555555553</v>
      </c>
      <c r="P166" s="32" t="s">
        <v>358</v>
      </c>
      <c r="Q166" s="32" t="s">
        <v>357</v>
      </c>
      <c r="R166" s="32"/>
      <c r="S166" s="32">
        <f>Table_query__44[[#This Row],[Grant Received]]*0.95</f>
        <v>6941.65</v>
      </c>
      <c r="T166" s="32"/>
      <c r="U166" s="32">
        <f>Table_query__44[[#This Row],[Grant Received]]*0.9</f>
        <v>6576.3</v>
      </c>
      <c r="V166" s="32"/>
      <c r="W166" s="32">
        <f>Table_query__44[[#This Row],[Grant Received]]*0.8</f>
        <v>5845.6</v>
      </c>
      <c r="X166" s="32"/>
    </row>
    <row r="167" spans="1:24">
      <c r="A167" s="31" t="str">
        <f>LEFT(Table_query__44[[#This Row],[Title]],(FIND(" ",Table_query__44[[#This Row],[Title]],1)-1))</f>
        <v>ICSMSU</v>
      </c>
      <c r="B167" s="32" t="s">
        <v>537</v>
      </c>
      <c r="C167" s="32" t="s">
        <v>183</v>
      </c>
      <c r="D167" s="34">
        <v>70</v>
      </c>
      <c r="E167" s="34">
        <v>11</v>
      </c>
      <c r="F167" s="32" t="s">
        <v>371</v>
      </c>
      <c r="G167" s="34">
        <v>13827.35</v>
      </c>
      <c r="H167" s="34">
        <v>8869.75</v>
      </c>
      <c r="I167" s="34">
        <v>4292.5</v>
      </c>
      <c r="J167" s="34">
        <v>4212.5</v>
      </c>
      <c r="K167" s="36">
        <v>2529</v>
      </c>
      <c r="L167" s="32" t="s">
        <v>361</v>
      </c>
      <c r="M167" s="32"/>
      <c r="N167" s="32" t="s">
        <v>359</v>
      </c>
      <c r="O167" s="33">
        <v>43893.665567129632</v>
      </c>
      <c r="P167" s="32" t="s">
        <v>358</v>
      </c>
      <c r="Q167" s="32" t="s">
        <v>357</v>
      </c>
      <c r="R167" s="32"/>
      <c r="S167" s="32">
        <f>Table_query__44[[#This Row],[Grant Received]]*0.95</f>
        <v>2402.5499999999997</v>
      </c>
      <c r="T167" s="32"/>
      <c r="U167" s="32">
        <f>Table_query__44[[#This Row],[Grant Received]]*0.9</f>
        <v>2276.1</v>
      </c>
      <c r="V167" s="32"/>
      <c r="W167" s="32">
        <f>Table_query__44[[#This Row],[Grant Received]]*0.8</f>
        <v>2023.2</v>
      </c>
      <c r="X167" s="32"/>
    </row>
    <row r="168" spans="1:24">
      <c r="A168" s="31" t="str">
        <f>LEFT(Table_query__44[[#This Row],[Title]],(FIND(" ",Table_query__44[[#This Row],[Title]],1)-1))</f>
        <v>ICSMSU</v>
      </c>
      <c r="B168" s="32" t="s">
        <v>537</v>
      </c>
      <c r="C168" s="32" t="s">
        <v>182</v>
      </c>
      <c r="D168" s="34">
        <v>10</v>
      </c>
      <c r="E168" s="34">
        <v>0</v>
      </c>
      <c r="F168" s="32" t="s">
        <v>371</v>
      </c>
      <c r="G168" s="34">
        <v>5316</v>
      </c>
      <c r="H168" s="34">
        <v>4720</v>
      </c>
      <c r="I168" s="34">
        <v>1594</v>
      </c>
      <c r="J168" s="34">
        <v>1344</v>
      </c>
      <c r="K168" s="36">
        <v>628.55999999999995</v>
      </c>
      <c r="L168" s="32" t="s">
        <v>361</v>
      </c>
      <c r="M168" s="32"/>
      <c r="N168" s="32" t="s">
        <v>359</v>
      </c>
      <c r="O168" s="33">
        <v>43893.399305555555</v>
      </c>
      <c r="P168" s="32" t="s">
        <v>358</v>
      </c>
      <c r="Q168" s="32" t="s">
        <v>357</v>
      </c>
      <c r="R168" s="32"/>
      <c r="S168" s="32">
        <f>Table_query__44[[#This Row],[Grant Received]]*0.95</f>
        <v>597.13199999999995</v>
      </c>
      <c r="T168" s="32"/>
      <c r="U168" s="32">
        <f>Table_query__44[[#This Row],[Grant Received]]*0.9</f>
        <v>565.70399999999995</v>
      </c>
      <c r="V168" s="32"/>
      <c r="W168" s="32">
        <f>Table_query__44[[#This Row],[Grant Received]]*0.8</f>
        <v>502.84799999999996</v>
      </c>
      <c r="X168" s="32"/>
    </row>
    <row r="169" spans="1:24">
      <c r="A169" s="31" t="str">
        <f>LEFT(Table_query__44[[#This Row],[Title]],(FIND(" ",Table_query__44[[#This Row],[Title]],1)-1))</f>
        <v>ICSMSU</v>
      </c>
      <c r="B169" s="32" t="s">
        <v>537</v>
      </c>
      <c r="C169" s="32" t="s">
        <v>433</v>
      </c>
      <c r="D169" s="34">
        <v>50</v>
      </c>
      <c r="E169" s="34">
        <v>0</v>
      </c>
      <c r="F169" s="32" t="s">
        <v>371</v>
      </c>
      <c r="G169" s="34">
        <v>358</v>
      </c>
      <c r="H169" s="34">
        <v>460</v>
      </c>
      <c r="I169" s="34">
        <v>100</v>
      </c>
      <c r="J169" s="34">
        <v>0</v>
      </c>
      <c r="K169" s="36">
        <v>0</v>
      </c>
      <c r="L169" s="32" t="s">
        <v>361</v>
      </c>
      <c r="M169" s="32"/>
      <c r="N169" s="32" t="s">
        <v>359</v>
      </c>
      <c r="O169" s="33">
        <v>43893.743877314817</v>
      </c>
      <c r="P169" s="32" t="s">
        <v>358</v>
      </c>
      <c r="Q169" s="32" t="s">
        <v>357</v>
      </c>
      <c r="R169" s="32"/>
      <c r="S169" s="32">
        <f>Table_query__44[[#This Row],[Grant Received]]*0.95</f>
        <v>0</v>
      </c>
      <c r="T169" s="32"/>
      <c r="U169" s="32">
        <f>Table_query__44[[#This Row],[Grant Received]]*0.9</f>
        <v>0</v>
      </c>
      <c r="V169" s="32"/>
      <c r="W169" s="32">
        <f>Table_query__44[[#This Row],[Grant Received]]*0.8</f>
        <v>0</v>
      </c>
      <c r="X169" s="32"/>
    </row>
    <row r="170" spans="1:24">
      <c r="A170" s="31" t="str">
        <f>LEFT(Table_query__44[[#This Row],[Title]],(FIND(" ",Table_query__44[[#This Row],[Title]],1)-1))</f>
        <v>ICSMSU</v>
      </c>
      <c r="B170" s="32" t="s">
        <v>537</v>
      </c>
      <c r="C170" s="32" t="s">
        <v>502</v>
      </c>
      <c r="D170" s="34">
        <v>50</v>
      </c>
      <c r="E170" s="34">
        <v>3</v>
      </c>
      <c r="F170" s="32" t="s">
        <v>371</v>
      </c>
      <c r="G170" s="34">
        <v>3590.8</v>
      </c>
      <c r="H170" s="34">
        <v>2686.3389999999999</v>
      </c>
      <c r="I170" s="34">
        <v>892</v>
      </c>
      <c r="J170" s="34">
        <v>892</v>
      </c>
      <c r="K170" s="36">
        <v>313.89999999999998</v>
      </c>
      <c r="L170" s="32" t="s">
        <v>361</v>
      </c>
      <c r="M170" s="32"/>
      <c r="N170" s="32" t="s">
        <v>359</v>
      </c>
      <c r="O170" s="33">
        <v>43906.457731481481</v>
      </c>
      <c r="P170" s="32" t="s">
        <v>358</v>
      </c>
      <c r="Q170" s="32" t="s">
        <v>357</v>
      </c>
      <c r="R170" s="32"/>
      <c r="S170" s="32">
        <f>Table_query__44[[#This Row],[Grant Received]]*0.95</f>
        <v>298.20499999999998</v>
      </c>
      <c r="T170" s="32"/>
      <c r="U170" s="32">
        <f>Table_query__44[[#This Row],[Grant Received]]*0.9</f>
        <v>282.51</v>
      </c>
      <c r="V170" s="32"/>
      <c r="W170" s="32">
        <f>Table_query__44[[#This Row],[Grant Received]]*0.8</f>
        <v>251.12</v>
      </c>
      <c r="X170" s="32"/>
    </row>
    <row r="171" spans="1:24">
      <c r="A171" s="31" t="str">
        <f>LEFT(Table_query__44[[#This Row],[Title]],(FIND(" ",Table_query__44[[#This Row],[Title]],1)-1))</f>
        <v>ICSMSU</v>
      </c>
      <c r="B171" s="32" t="s">
        <v>537</v>
      </c>
      <c r="C171" s="32" t="s">
        <v>181</v>
      </c>
      <c r="D171" s="34">
        <v>95</v>
      </c>
      <c r="E171" s="34">
        <v>22</v>
      </c>
      <c r="F171" s="32" t="s">
        <v>371</v>
      </c>
      <c r="G171" s="34">
        <v>17408</v>
      </c>
      <c r="H171" s="34">
        <v>10325</v>
      </c>
      <c r="I171" s="34">
        <v>4960</v>
      </c>
      <c r="J171" s="34">
        <v>4960</v>
      </c>
      <c r="K171" s="36">
        <v>1782.3405600000001</v>
      </c>
      <c r="L171" s="32" t="s">
        <v>361</v>
      </c>
      <c r="M171" s="32"/>
      <c r="N171" s="32" t="s">
        <v>359</v>
      </c>
      <c r="O171" s="33">
        <v>43901.7028587963</v>
      </c>
      <c r="P171" s="32" t="s">
        <v>358</v>
      </c>
      <c r="Q171" s="32" t="s">
        <v>357</v>
      </c>
      <c r="R171" s="32"/>
      <c r="S171" s="32">
        <f>Table_query__44[[#This Row],[Grant Received]]*0.95</f>
        <v>1693.223532</v>
      </c>
      <c r="T171" s="32"/>
      <c r="U171" s="32">
        <f>Table_query__44[[#This Row],[Grant Received]]*0.9</f>
        <v>1604.1065040000001</v>
      </c>
      <c r="V171" s="32"/>
      <c r="W171" s="32">
        <f>Table_query__44[[#This Row],[Grant Received]]*0.8</f>
        <v>1425.8724480000001</v>
      </c>
      <c r="X171" s="32"/>
    </row>
    <row r="172" spans="1:24">
      <c r="A172" s="31" t="str">
        <f>LEFT(Table_query__44[[#This Row],[Title]],(FIND(" ",Table_query__44[[#This Row],[Title]],1)-1))</f>
        <v>ICSMSU</v>
      </c>
      <c r="B172" s="32" t="s">
        <v>537</v>
      </c>
      <c r="C172" s="32" t="s">
        <v>180</v>
      </c>
      <c r="D172" s="34">
        <v>100</v>
      </c>
      <c r="E172" s="34">
        <v>3</v>
      </c>
      <c r="F172" s="32" t="s">
        <v>371</v>
      </c>
      <c r="G172" s="34">
        <v>14257.51</v>
      </c>
      <c r="H172" s="34">
        <v>10240</v>
      </c>
      <c r="I172" s="34">
        <v>3531.5</v>
      </c>
      <c r="J172" s="34">
        <v>1777.8</v>
      </c>
      <c r="K172" s="36">
        <v>983.755</v>
      </c>
      <c r="L172" s="32" t="s">
        <v>361</v>
      </c>
      <c r="M172" s="32"/>
      <c r="N172" s="32" t="s">
        <v>359</v>
      </c>
      <c r="O172" s="33">
        <v>43896.875532407408</v>
      </c>
      <c r="P172" s="32" t="s">
        <v>358</v>
      </c>
      <c r="Q172" s="32" t="s">
        <v>357</v>
      </c>
      <c r="R172" s="32"/>
      <c r="S172" s="32">
        <f>Table_query__44[[#This Row],[Grant Received]]*0.95</f>
        <v>934.56724999999994</v>
      </c>
      <c r="T172" s="32"/>
      <c r="U172" s="32">
        <f>Table_query__44[[#This Row],[Grant Received]]*0.9</f>
        <v>885.37950000000001</v>
      </c>
      <c r="V172" s="32"/>
      <c r="W172" s="32">
        <f>Table_query__44[[#This Row],[Grant Received]]*0.8</f>
        <v>787.00400000000002</v>
      </c>
      <c r="X172" s="32"/>
    </row>
    <row r="173" spans="1:24">
      <c r="A173" s="31" t="str">
        <f>LEFT(Table_query__44[[#This Row],[Title]],(FIND(" ",Table_query__44[[#This Row],[Title]],1)-1))</f>
        <v>ICSMSU</v>
      </c>
      <c r="B173" s="32" t="s">
        <v>537</v>
      </c>
      <c r="C173" s="32" t="s">
        <v>179</v>
      </c>
      <c r="D173" s="34">
        <v>85</v>
      </c>
      <c r="E173" s="34">
        <v>60</v>
      </c>
      <c r="F173" s="32" t="s">
        <v>371</v>
      </c>
      <c r="G173" s="34">
        <v>28183.4</v>
      </c>
      <c r="H173" s="34">
        <v>9854.1</v>
      </c>
      <c r="I173" s="34">
        <v>13530</v>
      </c>
      <c r="J173" s="34">
        <v>13360</v>
      </c>
      <c r="K173" s="36">
        <v>5345.9825366429995</v>
      </c>
      <c r="L173" s="32" t="s">
        <v>361</v>
      </c>
      <c r="M173" s="32"/>
      <c r="N173" s="32" t="s">
        <v>359</v>
      </c>
      <c r="O173" s="33">
        <v>43901.704293981478</v>
      </c>
      <c r="P173" s="32" t="s">
        <v>358</v>
      </c>
      <c r="Q173" s="32" t="s">
        <v>357</v>
      </c>
      <c r="R173" s="32"/>
      <c r="S173" s="32">
        <f>Table_query__44[[#This Row],[Grant Received]]*0.95</f>
        <v>5078.6834098108493</v>
      </c>
      <c r="T173" s="32"/>
      <c r="U173" s="32">
        <f>Table_query__44[[#This Row],[Grant Received]]*0.9</f>
        <v>4811.3842829787</v>
      </c>
      <c r="V173" s="32"/>
      <c r="W173" s="32">
        <f>Table_query__44[[#This Row],[Grant Received]]*0.8</f>
        <v>4276.7860293143995</v>
      </c>
      <c r="X173" s="32"/>
    </row>
    <row r="174" spans="1:24">
      <c r="A174" s="31" t="str">
        <f>LEFT(Table_query__44[[#This Row],[Title]],(FIND(" ",Table_query__44[[#This Row],[Title]],1)-1))</f>
        <v>ICSMSU</v>
      </c>
      <c r="B174" s="32" t="s">
        <v>537</v>
      </c>
      <c r="C174" s="32" t="s">
        <v>178</v>
      </c>
      <c r="D174" s="34">
        <v>180</v>
      </c>
      <c r="E174" s="34">
        <v>3</v>
      </c>
      <c r="F174" s="32" t="s">
        <v>371</v>
      </c>
      <c r="G174" s="34">
        <v>4583.6000000000004</v>
      </c>
      <c r="H174" s="34">
        <v>3475</v>
      </c>
      <c r="I174" s="34">
        <v>1569</v>
      </c>
      <c r="J174" s="34">
        <v>715</v>
      </c>
      <c r="K174" s="36">
        <v>326.03685000000002</v>
      </c>
      <c r="L174" s="32" t="s">
        <v>361</v>
      </c>
      <c r="M174" s="32"/>
      <c r="N174" s="32" t="s">
        <v>359</v>
      </c>
      <c r="O174" s="33">
        <v>43901.704652777778</v>
      </c>
      <c r="P174" s="32" t="s">
        <v>358</v>
      </c>
      <c r="Q174" s="32" t="s">
        <v>357</v>
      </c>
      <c r="R174" s="32"/>
      <c r="S174" s="32">
        <f>Table_query__44[[#This Row],[Grant Received]]*0.95</f>
        <v>309.73500749999999</v>
      </c>
      <c r="T174" s="32"/>
      <c r="U174" s="32">
        <f>Table_query__44[[#This Row],[Grant Received]]*0.9</f>
        <v>293.43316500000003</v>
      </c>
      <c r="V174" s="32"/>
      <c r="W174" s="32">
        <f>Table_query__44[[#This Row],[Grant Received]]*0.8</f>
        <v>260.82948000000005</v>
      </c>
      <c r="X174" s="32"/>
    </row>
    <row r="175" spans="1:24">
      <c r="A175" s="31" t="str">
        <f>LEFT(Table_query__44[[#This Row],[Title]],(FIND(" ",Table_query__44[[#This Row],[Title]],1)-1))</f>
        <v>ICSMSU</v>
      </c>
      <c r="B175" s="32" t="s">
        <v>537</v>
      </c>
      <c r="C175" s="32" t="s">
        <v>177</v>
      </c>
      <c r="D175" s="34">
        <v>70</v>
      </c>
      <c r="E175" s="34">
        <v>2</v>
      </c>
      <c r="F175" s="32" t="s">
        <v>371</v>
      </c>
      <c r="G175" s="34">
        <v>1604</v>
      </c>
      <c r="H175" s="34">
        <v>687</v>
      </c>
      <c r="I175" s="34">
        <v>660</v>
      </c>
      <c r="J175" s="34">
        <v>365</v>
      </c>
      <c r="K175" s="36">
        <v>108.7162</v>
      </c>
      <c r="L175" s="32" t="s">
        <v>361</v>
      </c>
      <c r="M175" s="32"/>
      <c r="N175" s="32" t="s">
        <v>359</v>
      </c>
      <c r="O175" s="33">
        <v>43901.705138888887</v>
      </c>
      <c r="P175" s="32" t="s">
        <v>358</v>
      </c>
      <c r="Q175" s="32" t="s">
        <v>357</v>
      </c>
      <c r="R175" s="32"/>
      <c r="S175" s="32">
        <f>Table_query__44[[#This Row],[Grant Received]]*0.95</f>
        <v>103.28039</v>
      </c>
      <c r="T175" s="32"/>
      <c r="U175" s="32">
        <f>Table_query__44[[#This Row],[Grant Received]]*0.9</f>
        <v>97.844580000000008</v>
      </c>
      <c r="V175" s="32"/>
      <c r="W175" s="32">
        <f>Table_query__44[[#This Row],[Grant Received]]*0.8</f>
        <v>86.97296</v>
      </c>
      <c r="X175" s="32"/>
    </row>
    <row r="176" spans="1:24">
      <c r="A176" s="31" t="str">
        <f>LEFT(Table_query__44[[#This Row],[Title]],(FIND(" ",Table_query__44[[#This Row],[Title]],1)-1))</f>
        <v>ICSMSU</v>
      </c>
      <c r="B176" s="32" t="s">
        <v>537</v>
      </c>
      <c r="C176" s="32" t="s">
        <v>508</v>
      </c>
      <c r="D176" s="34">
        <v>80</v>
      </c>
      <c r="E176" s="34">
        <v>0</v>
      </c>
      <c r="F176" s="32" t="s">
        <v>371</v>
      </c>
      <c r="G176" s="34">
        <v>371</v>
      </c>
      <c r="H176" s="34">
        <v>500</v>
      </c>
      <c r="I176" s="34">
        <v>0</v>
      </c>
      <c r="J176" s="34"/>
      <c r="K176" s="36"/>
      <c r="L176" s="32" t="s">
        <v>361</v>
      </c>
      <c r="M176" s="32"/>
      <c r="N176" s="32" t="s">
        <v>359</v>
      </c>
      <c r="O176" s="33">
        <v>43893.444664351853</v>
      </c>
      <c r="P176" s="32" t="s">
        <v>358</v>
      </c>
      <c r="Q176" s="32" t="s">
        <v>357</v>
      </c>
      <c r="R176" s="32"/>
      <c r="S176" s="32">
        <f>Table_query__44[[#This Row],[Grant Received]]*0.95</f>
        <v>0</v>
      </c>
      <c r="T176" s="32"/>
      <c r="U176" s="32">
        <f>Table_query__44[[#This Row],[Grant Received]]*0.9</f>
        <v>0</v>
      </c>
      <c r="V176" s="32"/>
      <c r="W176" s="32">
        <f>Table_query__44[[#This Row],[Grant Received]]*0.8</f>
        <v>0</v>
      </c>
      <c r="X176" s="32"/>
    </row>
    <row r="177" spans="1:24">
      <c r="A177" s="31" t="str">
        <f>LEFT(Table_query__44[[#This Row],[Title]],(FIND(" ",Table_query__44[[#This Row],[Title]],1)-1))</f>
        <v>ICSMSU</v>
      </c>
      <c r="B177" s="32" t="s">
        <v>537</v>
      </c>
      <c r="C177" s="32" t="s">
        <v>432</v>
      </c>
      <c r="D177" s="34"/>
      <c r="E177" s="34"/>
      <c r="F177" s="32" t="s">
        <v>371</v>
      </c>
      <c r="G177" s="34"/>
      <c r="H177" s="34"/>
      <c r="I177" s="34"/>
      <c r="J177" s="34"/>
      <c r="K177" s="36"/>
      <c r="L177" s="32" t="s">
        <v>361</v>
      </c>
      <c r="M177" s="32"/>
      <c r="N177" s="32" t="s">
        <v>359</v>
      </c>
      <c r="O177" s="33">
        <v>43893.743993055556</v>
      </c>
      <c r="P177" s="32" t="s">
        <v>358</v>
      </c>
      <c r="Q177" s="32" t="s">
        <v>357</v>
      </c>
      <c r="R177" s="32"/>
      <c r="S177" s="32">
        <f>Table_query__44[[#This Row],[Grant Received]]*0.95</f>
        <v>0</v>
      </c>
      <c r="T177" s="32"/>
      <c r="U177" s="32">
        <f>Table_query__44[[#This Row],[Grant Received]]*0.9</f>
        <v>0</v>
      </c>
      <c r="V177" s="32"/>
      <c r="W177" s="32">
        <f>Table_query__44[[#This Row],[Grant Received]]*0.8</f>
        <v>0</v>
      </c>
      <c r="X177" s="32"/>
    </row>
    <row r="178" spans="1:24">
      <c r="A178" s="31" t="str">
        <f>LEFT(Table_query__44[[#This Row],[Title]],(FIND(" ",Table_query__44[[#This Row],[Title]],1)-1))</f>
        <v>ICSMSU</v>
      </c>
      <c r="B178" s="32" t="s">
        <v>537</v>
      </c>
      <c r="C178" s="32" t="s">
        <v>176</v>
      </c>
      <c r="D178" s="34">
        <v>130</v>
      </c>
      <c r="E178" s="34">
        <v>2</v>
      </c>
      <c r="F178" s="32" t="s">
        <v>371</v>
      </c>
      <c r="G178" s="34">
        <v>2154</v>
      </c>
      <c r="H178" s="34">
        <v>1370</v>
      </c>
      <c r="I178" s="34">
        <v>579</v>
      </c>
      <c r="J178" s="34">
        <v>534</v>
      </c>
      <c r="K178" s="36">
        <v>367.94170000000003</v>
      </c>
      <c r="L178" s="32" t="s">
        <v>361</v>
      </c>
      <c r="M178" s="32"/>
      <c r="N178" s="32" t="s">
        <v>359</v>
      </c>
      <c r="O178" s="33">
        <v>43901.705439814818</v>
      </c>
      <c r="P178" s="32" t="s">
        <v>358</v>
      </c>
      <c r="Q178" s="32" t="s">
        <v>357</v>
      </c>
      <c r="R178" s="32"/>
      <c r="S178" s="32">
        <f>Table_query__44[[#This Row],[Grant Received]]*0.95</f>
        <v>349.54461500000002</v>
      </c>
      <c r="T178" s="32"/>
      <c r="U178" s="32">
        <f>Table_query__44[[#This Row],[Grant Received]]*0.9</f>
        <v>331.14753000000002</v>
      </c>
      <c r="V178" s="32"/>
      <c r="W178" s="32">
        <f>Table_query__44[[#This Row],[Grant Received]]*0.8</f>
        <v>294.35336000000001</v>
      </c>
      <c r="X178" s="32"/>
    </row>
    <row r="179" spans="1:24">
      <c r="A179" s="31" t="str">
        <f>LEFT(Table_query__44[[#This Row],[Title]],(FIND(" ",Table_query__44[[#This Row],[Title]],1)-1))</f>
        <v>ICSMSU</v>
      </c>
      <c r="B179" s="32" t="s">
        <v>537</v>
      </c>
      <c r="C179" s="32" t="s">
        <v>175</v>
      </c>
      <c r="D179" s="34">
        <v>100</v>
      </c>
      <c r="E179" s="34">
        <v>2</v>
      </c>
      <c r="F179" s="32" t="s">
        <v>371</v>
      </c>
      <c r="G179" s="34"/>
      <c r="H179" s="34"/>
      <c r="I179" s="34"/>
      <c r="J179" s="34"/>
      <c r="K179" s="36"/>
      <c r="L179" s="32" t="s">
        <v>361</v>
      </c>
      <c r="M179" s="32"/>
      <c r="N179" s="32" t="s">
        <v>359</v>
      </c>
      <c r="O179" s="33">
        <v>43893.744988425926</v>
      </c>
      <c r="P179" s="32" t="s">
        <v>358</v>
      </c>
      <c r="Q179" s="32" t="s">
        <v>357</v>
      </c>
      <c r="R179" s="32"/>
      <c r="S179" s="32">
        <f>Table_query__44[[#This Row],[Grant Received]]*0.95</f>
        <v>0</v>
      </c>
      <c r="T179" s="32"/>
      <c r="U179" s="32">
        <f>Table_query__44[[#This Row],[Grant Received]]*0.9</f>
        <v>0</v>
      </c>
      <c r="V179" s="32"/>
      <c r="W179" s="32">
        <f>Table_query__44[[#This Row],[Grant Received]]*0.8</f>
        <v>0</v>
      </c>
      <c r="X179" s="32"/>
    </row>
    <row r="180" spans="1:24">
      <c r="A180" s="31" t="str">
        <f>LEFT(Table_query__44[[#This Row],[Title]],(FIND(" ",Table_query__44[[#This Row],[Title]],1)-1))</f>
        <v>ICSMSU</v>
      </c>
      <c r="B180" s="32" t="s">
        <v>537</v>
      </c>
      <c r="C180" s="32" t="s">
        <v>511</v>
      </c>
      <c r="D180" s="34">
        <v>45</v>
      </c>
      <c r="E180" s="34">
        <v>3</v>
      </c>
      <c r="F180" s="32" t="s">
        <v>371</v>
      </c>
      <c r="G180" s="34">
        <v>2206</v>
      </c>
      <c r="H180" s="34">
        <v>1500</v>
      </c>
      <c r="I180" s="34">
        <v>425</v>
      </c>
      <c r="J180" s="34">
        <v>250</v>
      </c>
      <c r="K180" s="36">
        <v>151.000069</v>
      </c>
      <c r="L180" s="32" t="s">
        <v>361</v>
      </c>
      <c r="M180" s="32"/>
      <c r="N180" s="32" t="s">
        <v>359</v>
      </c>
      <c r="O180" s="33">
        <v>43962.47420138889</v>
      </c>
      <c r="P180" s="32" t="s">
        <v>358</v>
      </c>
      <c r="Q180" s="32" t="s">
        <v>357</v>
      </c>
      <c r="R180" s="32"/>
      <c r="S180" s="32">
        <f>Table_query__44[[#This Row],[Grant Received]]*0.95</f>
        <v>143.45006554999998</v>
      </c>
      <c r="T180" s="32"/>
      <c r="U180" s="32">
        <f>Table_query__44[[#This Row],[Grant Received]]*0.9</f>
        <v>135.90006210000001</v>
      </c>
      <c r="V180" s="32"/>
      <c r="W180" s="32">
        <f>Table_query__44[[#This Row],[Grant Received]]*0.8</f>
        <v>120.8000552</v>
      </c>
      <c r="X180" s="32"/>
    </row>
    <row r="181" spans="1:24">
      <c r="A181" s="31" t="str">
        <f>LEFT(Table_query__44[[#This Row],[Title]],(FIND(" ",Table_query__44[[#This Row],[Title]],1)-1))</f>
        <v>ICSMSU</v>
      </c>
      <c r="B181" s="32" t="s">
        <v>537</v>
      </c>
      <c r="C181" s="32" t="s">
        <v>431</v>
      </c>
      <c r="D181" s="34"/>
      <c r="E181" s="34"/>
      <c r="F181" s="32" t="s">
        <v>371</v>
      </c>
      <c r="G181" s="34"/>
      <c r="H181" s="34"/>
      <c r="I181" s="34"/>
      <c r="J181" s="34"/>
      <c r="K181" s="36"/>
      <c r="L181" s="32" t="s">
        <v>361</v>
      </c>
      <c r="M181" s="32"/>
      <c r="N181" s="32" t="s">
        <v>359</v>
      </c>
      <c r="O181" s="33">
        <v>43893.745462962965</v>
      </c>
      <c r="P181" s="32" t="s">
        <v>358</v>
      </c>
      <c r="Q181" s="32" t="s">
        <v>357</v>
      </c>
      <c r="R181" s="32"/>
      <c r="S181" s="32">
        <f>Table_query__44[[#This Row],[Grant Received]]*0.95</f>
        <v>0</v>
      </c>
      <c r="T181" s="32"/>
      <c r="U181" s="32">
        <f>Table_query__44[[#This Row],[Grant Received]]*0.9</f>
        <v>0</v>
      </c>
      <c r="V181" s="32"/>
      <c r="W181" s="32">
        <f>Table_query__44[[#This Row],[Grant Received]]*0.8</f>
        <v>0</v>
      </c>
      <c r="X181" s="32"/>
    </row>
    <row r="182" spans="1:24">
      <c r="A182" s="31" t="str">
        <f>LEFT(Table_query__44[[#This Row],[Title]],(FIND(" ",Table_query__44[[#This Row],[Title]],1)-1))</f>
        <v>ICSMSU</v>
      </c>
      <c r="B182" s="32" t="s">
        <v>537</v>
      </c>
      <c r="C182" s="32" t="s">
        <v>173</v>
      </c>
      <c r="D182" s="34">
        <v>80</v>
      </c>
      <c r="E182" s="34">
        <v>2</v>
      </c>
      <c r="F182" s="32" t="s">
        <v>371</v>
      </c>
      <c r="G182" s="34">
        <v>2058.6</v>
      </c>
      <c r="H182" s="34">
        <v>1565</v>
      </c>
      <c r="I182" s="34">
        <v>225</v>
      </c>
      <c r="J182" s="34">
        <v>205</v>
      </c>
      <c r="K182" s="36">
        <v>161.738</v>
      </c>
      <c r="L182" s="32" t="s">
        <v>361</v>
      </c>
      <c r="M182" s="32"/>
      <c r="N182" s="32" t="s">
        <v>359</v>
      </c>
      <c r="O182" s="33">
        <v>43901.706805555557</v>
      </c>
      <c r="P182" s="32" t="s">
        <v>358</v>
      </c>
      <c r="Q182" s="32" t="s">
        <v>357</v>
      </c>
      <c r="R182" s="32"/>
      <c r="S182" s="32">
        <f>Table_query__44[[#This Row],[Grant Received]]*0.95</f>
        <v>153.65109999999999</v>
      </c>
      <c r="T182" s="32"/>
      <c r="U182" s="32">
        <f>Table_query__44[[#This Row],[Grant Received]]*0.9</f>
        <v>145.5642</v>
      </c>
      <c r="V182" s="32"/>
      <c r="W182" s="32">
        <f>Table_query__44[[#This Row],[Grant Received]]*0.8</f>
        <v>129.3904</v>
      </c>
      <c r="X182" s="32"/>
    </row>
    <row r="183" spans="1:24">
      <c r="A183" s="31" t="str">
        <f>LEFT(Table_query__44[[#This Row],[Title]],(FIND(" ",Table_query__44[[#This Row],[Title]],1)-1))</f>
        <v>ICSMSU</v>
      </c>
      <c r="B183" s="32" t="s">
        <v>537</v>
      </c>
      <c r="C183" s="32" t="s">
        <v>172</v>
      </c>
      <c r="D183" s="34">
        <v>40</v>
      </c>
      <c r="E183" s="34">
        <v>0</v>
      </c>
      <c r="F183" s="32" t="s">
        <v>371</v>
      </c>
      <c r="G183" s="34">
        <v>20776.2</v>
      </c>
      <c r="H183" s="34">
        <v>20776.2</v>
      </c>
      <c r="I183" s="34">
        <v>0</v>
      </c>
      <c r="J183" s="34"/>
      <c r="K183" s="36"/>
      <c r="L183" s="32" t="s">
        <v>361</v>
      </c>
      <c r="M183" s="32"/>
      <c r="N183" s="32" t="s">
        <v>359</v>
      </c>
      <c r="O183" s="33">
        <v>43893.74690972222</v>
      </c>
      <c r="P183" s="32" t="s">
        <v>358</v>
      </c>
      <c r="Q183" s="32" t="s">
        <v>357</v>
      </c>
      <c r="R183" s="32"/>
      <c r="S183" s="32">
        <f>Table_query__44[[#This Row],[Grant Received]]*0.95</f>
        <v>0</v>
      </c>
      <c r="T183" s="32"/>
      <c r="U183" s="32">
        <f>Table_query__44[[#This Row],[Grant Received]]*0.9</f>
        <v>0</v>
      </c>
      <c r="V183" s="32"/>
      <c r="W183" s="32">
        <f>Table_query__44[[#This Row],[Grant Received]]*0.8</f>
        <v>0</v>
      </c>
      <c r="X183" s="32"/>
    </row>
    <row r="184" spans="1:24">
      <c r="A184" s="31" t="str">
        <f>LEFT(Table_query__44[[#This Row],[Title]],(FIND(" ",Table_query__44[[#This Row],[Title]],1)-1))</f>
        <v>ICSMSU</v>
      </c>
      <c r="B184" s="32" t="s">
        <v>537</v>
      </c>
      <c r="C184" s="32" t="s">
        <v>430</v>
      </c>
      <c r="D184" s="34">
        <v>12</v>
      </c>
      <c r="E184" s="34">
        <v>0</v>
      </c>
      <c r="F184" s="32" t="s">
        <v>371</v>
      </c>
      <c r="G184" s="34">
        <v>4450</v>
      </c>
      <c r="H184" s="34">
        <v>10800</v>
      </c>
      <c r="I184" s="34">
        <v>0</v>
      </c>
      <c r="J184" s="34"/>
      <c r="K184" s="36"/>
      <c r="L184" s="32" t="s">
        <v>361</v>
      </c>
      <c r="M184" s="32"/>
      <c r="N184" s="32" t="s">
        <v>359</v>
      </c>
      <c r="O184" s="33">
        <v>43893.747395833336</v>
      </c>
      <c r="P184" s="32" t="s">
        <v>358</v>
      </c>
      <c r="Q184" s="32" t="s">
        <v>357</v>
      </c>
      <c r="R184" s="32"/>
      <c r="S184" s="32">
        <f>Table_query__44[[#This Row],[Grant Received]]*0.95</f>
        <v>0</v>
      </c>
      <c r="T184" s="32"/>
      <c r="U184" s="32">
        <f>Table_query__44[[#This Row],[Grant Received]]*0.9</f>
        <v>0</v>
      </c>
      <c r="V184" s="32"/>
      <c r="W184" s="32">
        <f>Table_query__44[[#This Row],[Grant Received]]*0.8</f>
        <v>0</v>
      </c>
      <c r="X184" s="32"/>
    </row>
    <row r="185" spans="1:24">
      <c r="A185" s="31" t="str">
        <f>LEFT(Table_query__44[[#This Row],[Title]],(FIND(" ",Table_query__44[[#This Row],[Title]],1)-1))</f>
        <v>ICSMSU</v>
      </c>
      <c r="B185" s="32" t="s">
        <v>537</v>
      </c>
      <c r="C185" s="32" t="s">
        <v>171</v>
      </c>
      <c r="D185" s="34">
        <v>55</v>
      </c>
      <c r="E185" s="34">
        <v>85</v>
      </c>
      <c r="F185" s="32" t="s">
        <v>371</v>
      </c>
      <c r="G185" s="34">
        <v>19689.53</v>
      </c>
      <c r="H185" s="34">
        <v>3826</v>
      </c>
      <c r="I185" s="34">
        <v>12130.05</v>
      </c>
      <c r="J185" s="34">
        <v>11896.05</v>
      </c>
      <c r="K185" s="36">
        <v>7967.6450000000004</v>
      </c>
      <c r="L185" s="32" t="s">
        <v>361</v>
      </c>
      <c r="M185" s="32"/>
      <c r="N185" s="32" t="s">
        <v>359</v>
      </c>
      <c r="O185" s="33">
        <v>43893.737326388888</v>
      </c>
      <c r="P185" s="32" t="s">
        <v>358</v>
      </c>
      <c r="Q185" s="32" t="s">
        <v>357</v>
      </c>
      <c r="R185" s="32"/>
      <c r="S185" s="32">
        <f>Table_query__44[[#This Row],[Grant Received]]*0.95</f>
        <v>7569.2627499999999</v>
      </c>
      <c r="T185" s="32"/>
      <c r="U185" s="32">
        <f>Table_query__44[[#This Row],[Grant Received]]*0.9</f>
        <v>7170.8805000000002</v>
      </c>
      <c r="V185" s="32"/>
      <c r="W185" s="32">
        <f>Table_query__44[[#This Row],[Grant Received]]*0.8</f>
        <v>6374.1160000000009</v>
      </c>
      <c r="X185" s="32"/>
    </row>
    <row r="186" spans="1:24">
      <c r="A186" s="31" t="str">
        <f>LEFT(Table_query__44[[#This Row],[Title]],(FIND(" ",Table_query__44[[#This Row],[Title]],1)-1))</f>
        <v>ICSMSU</v>
      </c>
      <c r="B186" s="32" t="s">
        <v>537</v>
      </c>
      <c r="C186" s="32" t="s">
        <v>170</v>
      </c>
      <c r="D186" s="34"/>
      <c r="E186" s="34"/>
      <c r="F186" s="32" t="s">
        <v>371</v>
      </c>
      <c r="G186" s="34"/>
      <c r="H186" s="34"/>
      <c r="I186" s="34"/>
      <c r="J186" s="34"/>
      <c r="K186" s="36"/>
      <c r="L186" s="32" t="s">
        <v>361</v>
      </c>
      <c r="M186" s="32"/>
      <c r="N186" s="32" t="s">
        <v>359</v>
      </c>
      <c r="O186" s="33">
        <v>43893.747546296298</v>
      </c>
      <c r="P186" s="32" t="s">
        <v>358</v>
      </c>
      <c r="Q186" s="32" t="s">
        <v>357</v>
      </c>
      <c r="R186" s="32"/>
      <c r="S186" s="32">
        <f>Table_query__44[[#This Row],[Grant Received]]*0.95</f>
        <v>0</v>
      </c>
      <c r="T186" s="32"/>
      <c r="U186" s="32">
        <f>Table_query__44[[#This Row],[Grant Received]]*0.9</f>
        <v>0</v>
      </c>
      <c r="V186" s="32"/>
      <c r="W186" s="32">
        <f>Table_query__44[[#This Row],[Grant Received]]*0.8</f>
        <v>0</v>
      </c>
      <c r="X186" s="32"/>
    </row>
    <row r="187" spans="1:24">
      <c r="A187" s="31" t="str">
        <f>LEFT(Table_query__44[[#This Row],[Title]],(FIND(" ",Table_query__44[[#This Row],[Title]],1)-1))</f>
        <v>ICSMSU</v>
      </c>
      <c r="B187" s="32" t="s">
        <v>537</v>
      </c>
      <c r="C187" s="32" t="s">
        <v>504</v>
      </c>
      <c r="D187" s="34">
        <v>80</v>
      </c>
      <c r="E187" s="34">
        <v>2</v>
      </c>
      <c r="F187" s="32" t="s">
        <v>371</v>
      </c>
      <c r="G187" s="34">
        <v>3591.8</v>
      </c>
      <c r="H187" s="34">
        <v>2629</v>
      </c>
      <c r="I187" s="34">
        <v>1190</v>
      </c>
      <c r="J187" s="34">
        <v>663</v>
      </c>
      <c r="K187" s="36">
        <v>215.5</v>
      </c>
      <c r="L187" s="32" t="s">
        <v>361</v>
      </c>
      <c r="M187" s="32"/>
      <c r="N187" s="32" t="s">
        <v>359</v>
      </c>
      <c r="O187" s="33">
        <v>43896.878946759258</v>
      </c>
      <c r="P187" s="32" t="s">
        <v>358</v>
      </c>
      <c r="Q187" s="32" t="s">
        <v>357</v>
      </c>
      <c r="R187" s="32"/>
      <c r="S187" s="32">
        <f>Table_query__44[[#This Row],[Grant Received]]*0.95</f>
        <v>204.72499999999999</v>
      </c>
      <c r="T187" s="32"/>
      <c r="U187" s="32">
        <f>Table_query__44[[#This Row],[Grant Received]]*0.9</f>
        <v>193.95000000000002</v>
      </c>
      <c r="V187" s="32"/>
      <c r="W187" s="32">
        <f>Table_query__44[[#This Row],[Grant Received]]*0.8</f>
        <v>172.4</v>
      </c>
      <c r="X187" s="32"/>
    </row>
    <row r="188" spans="1:24">
      <c r="A188" s="31" t="str">
        <f>LEFT(Table_query__44[[#This Row],[Title]],(FIND(" ",Table_query__44[[#This Row],[Title]],1)-1))</f>
        <v>ICSMSU</v>
      </c>
      <c r="B188" s="32" t="s">
        <v>537</v>
      </c>
      <c r="C188" s="32" t="s">
        <v>169</v>
      </c>
      <c r="D188" s="34">
        <v>30</v>
      </c>
      <c r="E188" s="34">
        <v>20</v>
      </c>
      <c r="F188" s="32" t="s">
        <v>371</v>
      </c>
      <c r="G188" s="34">
        <v>5008.03</v>
      </c>
      <c r="H188" s="34">
        <v>3422.5</v>
      </c>
      <c r="I188" s="34">
        <v>674</v>
      </c>
      <c r="J188" s="34">
        <v>645</v>
      </c>
      <c r="K188" s="36">
        <v>462.79376000000002</v>
      </c>
      <c r="L188" s="32" t="s">
        <v>361</v>
      </c>
      <c r="M188" s="32"/>
      <c r="N188" s="32" t="s">
        <v>359</v>
      </c>
      <c r="O188" s="33">
        <v>43901.707129629627</v>
      </c>
      <c r="P188" s="32" t="s">
        <v>358</v>
      </c>
      <c r="Q188" s="32" t="s">
        <v>357</v>
      </c>
      <c r="R188" s="32"/>
      <c r="S188" s="32">
        <f>Table_query__44[[#This Row],[Grant Received]]*0.95</f>
        <v>439.65407199999999</v>
      </c>
      <c r="T188" s="32"/>
      <c r="U188" s="32">
        <f>Table_query__44[[#This Row],[Grant Received]]*0.9</f>
        <v>416.51438400000001</v>
      </c>
      <c r="V188" s="32"/>
      <c r="W188" s="32">
        <f>Table_query__44[[#This Row],[Grant Received]]*0.8</f>
        <v>370.23500800000005</v>
      </c>
      <c r="X188" s="32"/>
    </row>
    <row r="189" spans="1:24">
      <c r="A189" s="31" t="str">
        <f>LEFT(Table_query__44[[#This Row],[Title]],(FIND(" ",Table_query__44[[#This Row],[Title]],1)-1))</f>
        <v>ICSMSU</v>
      </c>
      <c r="B189" s="32" t="s">
        <v>537</v>
      </c>
      <c r="C189" s="32" t="s">
        <v>429</v>
      </c>
      <c r="D189" s="34"/>
      <c r="E189" s="34"/>
      <c r="F189" s="32" t="s">
        <v>371</v>
      </c>
      <c r="G189" s="34">
        <v>170</v>
      </c>
      <c r="H189" s="34">
        <v>0</v>
      </c>
      <c r="I189" s="34">
        <v>170</v>
      </c>
      <c r="J189" s="34">
        <v>45</v>
      </c>
      <c r="K189" s="36">
        <v>27</v>
      </c>
      <c r="L189" s="32" t="s">
        <v>361</v>
      </c>
      <c r="M189" s="32"/>
      <c r="N189" s="32" t="s">
        <v>359</v>
      </c>
      <c r="O189" s="33">
        <v>43893.747743055559</v>
      </c>
      <c r="P189" s="32" t="s">
        <v>358</v>
      </c>
      <c r="Q189" s="32" t="s">
        <v>357</v>
      </c>
      <c r="R189" s="32"/>
      <c r="S189" s="32">
        <f>Table_query__44[[#This Row],[Grant Received]]*0.95</f>
        <v>25.65</v>
      </c>
      <c r="T189" s="32"/>
      <c r="U189" s="32">
        <f>Table_query__44[[#This Row],[Grant Received]]*0.9</f>
        <v>24.3</v>
      </c>
      <c r="V189" s="32"/>
      <c r="W189" s="32">
        <f>Table_query__44[[#This Row],[Grant Received]]*0.8</f>
        <v>21.6</v>
      </c>
      <c r="X189" s="32"/>
    </row>
    <row r="190" spans="1:24">
      <c r="A190" s="31" t="str">
        <f>LEFT(Table_query__44[[#This Row],[Title]],(FIND(" ",Table_query__44[[#This Row],[Title]],1)-1))</f>
        <v>ICSMSU</v>
      </c>
      <c r="B190" s="32" t="s">
        <v>537</v>
      </c>
      <c r="C190" s="32" t="s">
        <v>167</v>
      </c>
      <c r="D190" s="34">
        <v>220</v>
      </c>
      <c r="E190" s="34">
        <v>3</v>
      </c>
      <c r="F190" s="32" t="s">
        <v>371</v>
      </c>
      <c r="G190" s="34">
        <v>22633</v>
      </c>
      <c r="H190" s="34">
        <v>15975</v>
      </c>
      <c r="I190" s="34">
        <v>4675</v>
      </c>
      <c r="J190" s="34">
        <v>3740</v>
      </c>
      <c r="K190" s="36">
        <v>1043.23245</v>
      </c>
      <c r="L190" s="32" t="s">
        <v>361</v>
      </c>
      <c r="M190" s="32"/>
      <c r="N190" s="32" t="s">
        <v>359</v>
      </c>
      <c r="O190" s="33">
        <v>43901.707569444443</v>
      </c>
      <c r="P190" s="32" t="s">
        <v>358</v>
      </c>
      <c r="Q190" s="32" t="s">
        <v>357</v>
      </c>
      <c r="R190" s="32"/>
      <c r="S190" s="32">
        <f>Table_query__44[[#This Row],[Grant Received]]*0.95</f>
        <v>991.07082749999995</v>
      </c>
      <c r="T190" s="32"/>
      <c r="U190" s="32">
        <f>Table_query__44[[#This Row],[Grant Received]]*0.9</f>
        <v>938.90920500000004</v>
      </c>
      <c r="V190" s="32"/>
      <c r="W190" s="32">
        <f>Table_query__44[[#This Row],[Grant Received]]*0.8</f>
        <v>834.58596</v>
      </c>
      <c r="X190" s="32"/>
    </row>
    <row r="191" spans="1:24">
      <c r="A191" s="31" t="str">
        <f>LEFT(Table_query__44[[#This Row],[Title]],(FIND(" ",Table_query__44[[#This Row],[Title]],1)-1))</f>
        <v>ICSMSU</v>
      </c>
      <c r="B191" s="32" t="s">
        <v>537</v>
      </c>
      <c r="C191" s="32" t="s">
        <v>166</v>
      </c>
      <c r="D191" s="34">
        <v>65</v>
      </c>
      <c r="E191" s="34">
        <v>5</v>
      </c>
      <c r="F191" s="32" t="s">
        <v>371</v>
      </c>
      <c r="G191" s="34">
        <v>1006.8</v>
      </c>
      <c r="H191" s="34">
        <v>0</v>
      </c>
      <c r="I191" s="34">
        <v>573.5</v>
      </c>
      <c r="J191" s="34">
        <v>560</v>
      </c>
      <c r="K191" s="36">
        <v>352.07470000000001</v>
      </c>
      <c r="L191" s="32" t="s">
        <v>361</v>
      </c>
      <c r="M191" s="32"/>
      <c r="N191" s="32" t="s">
        <v>359</v>
      </c>
      <c r="O191" s="33">
        <v>43901.707812499997</v>
      </c>
      <c r="P191" s="32" t="s">
        <v>358</v>
      </c>
      <c r="Q191" s="32" t="s">
        <v>357</v>
      </c>
      <c r="R191" s="32"/>
      <c r="S191" s="32">
        <f>Table_query__44[[#This Row],[Grant Received]]*0.95</f>
        <v>334.47096499999998</v>
      </c>
      <c r="T191" s="32"/>
      <c r="U191" s="32">
        <f>Table_query__44[[#This Row],[Grant Received]]*0.9</f>
        <v>316.86723000000001</v>
      </c>
      <c r="V191" s="32"/>
      <c r="W191" s="32">
        <f>Table_query__44[[#This Row],[Grant Received]]*0.8</f>
        <v>281.65976000000001</v>
      </c>
      <c r="X191" s="32"/>
    </row>
    <row r="192" spans="1:24">
      <c r="A192" s="31" t="str">
        <f>LEFT(Table_query__44[[#This Row],[Title]],(FIND(" ",Table_query__44[[#This Row],[Title]],1)-1))</f>
        <v>ICSMSU</v>
      </c>
      <c r="B192" s="32" t="s">
        <v>537</v>
      </c>
      <c r="C192" s="32" t="s">
        <v>165</v>
      </c>
      <c r="D192" s="34">
        <v>36</v>
      </c>
      <c r="E192" s="34">
        <v>35</v>
      </c>
      <c r="F192" s="32" t="s">
        <v>371</v>
      </c>
      <c r="G192" s="34">
        <v>3947.2</v>
      </c>
      <c r="H192" s="34">
        <v>1088</v>
      </c>
      <c r="I192" s="34">
        <v>1720</v>
      </c>
      <c r="J192" s="34">
        <v>1720</v>
      </c>
      <c r="K192" s="36">
        <v>743.86199999999997</v>
      </c>
      <c r="L192" s="32" t="s">
        <v>361</v>
      </c>
      <c r="M192" s="32"/>
      <c r="N192" s="32" t="s">
        <v>359</v>
      </c>
      <c r="O192" s="33">
        <v>43901.708356481482</v>
      </c>
      <c r="P192" s="32" t="s">
        <v>358</v>
      </c>
      <c r="Q192" s="32" t="s">
        <v>357</v>
      </c>
      <c r="R192" s="32"/>
      <c r="S192" s="32">
        <f>Table_query__44[[#This Row],[Grant Received]]*0.95</f>
        <v>706.66889999999989</v>
      </c>
      <c r="T192" s="32"/>
      <c r="U192" s="32">
        <f>Table_query__44[[#This Row],[Grant Received]]*0.9</f>
        <v>669.47579999999994</v>
      </c>
      <c r="V192" s="32"/>
      <c r="W192" s="32">
        <f>Table_query__44[[#This Row],[Grant Received]]*0.8</f>
        <v>595.08960000000002</v>
      </c>
      <c r="X192" s="32"/>
    </row>
    <row r="193" spans="1:24">
      <c r="A193" s="31" t="str">
        <f>LEFT(Table_query__44[[#This Row],[Title]],(FIND(" ",Table_query__44[[#This Row],[Title]],1)-1))</f>
        <v>ICSMSU</v>
      </c>
      <c r="B193" s="32" t="s">
        <v>537</v>
      </c>
      <c r="C193" s="32" t="s">
        <v>512</v>
      </c>
      <c r="D193" s="34">
        <v>32</v>
      </c>
      <c r="E193" s="34">
        <v>2</v>
      </c>
      <c r="F193" s="32" t="s">
        <v>371</v>
      </c>
      <c r="G193" s="34">
        <v>2620.54</v>
      </c>
      <c r="H193" s="34">
        <v>4425</v>
      </c>
      <c r="I193" s="34">
        <v>798.69</v>
      </c>
      <c r="J193" s="34">
        <v>0</v>
      </c>
      <c r="K193" s="36">
        <v>0</v>
      </c>
      <c r="L193" s="32" t="s">
        <v>361</v>
      </c>
      <c r="M193" s="32"/>
      <c r="N193" s="32" t="s">
        <v>359</v>
      </c>
      <c r="O193" s="33">
        <v>43893.400972222225</v>
      </c>
      <c r="P193" s="32" t="s">
        <v>358</v>
      </c>
      <c r="Q193" s="32" t="s">
        <v>357</v>
      </c>
      <c r="R193" s="32"/>
      <c r="S193" s="32">
        <f>Table_query__44[[#This Row],[Grant Received]]*0.95</f>
        <v>0</v>
      </c>
      <c r="T193" s="32"/>
      <c r="U193" s="32">
        <f>Table_query__44[[#This Row],[Grant Received]]*0.9</f>
        <v>0</v>
      </c>
      <c r="V193" s="32"/>
      <c r="W193" s="32">
        <f>Table_query__44[[#This Row],[Grant Received]]*0.8</f>
        <v>0</v>
      </c>
      <c r="X193" s="32"/>
    </row>
    <row r="194" spans="1:24">
      <c r="A194" s="31" t="str">
        <f>LEFT(Table_query__44[[#This Row],[Title]],(FIND(" ",Table_query__44[[#This Row],[Title]],1)-1))</f>
        <v>ICSMSU</v>
      </c>
      <c r="B194" s="32" t="s">
        <v>537</v>
      </c>
      <c r="C194" s="32" t="s">
        <v>164</v>
      </c>
      <c r="D194" s="34">
        <v>38</v>
      </c>
      <c r="E194" s="34">
        <v>35</v>
      </c>
      <c r="F194" s="32" t="s">
        <v>371</v>
      </c>
      <c r="G194" s="34">
        <v>16569.3</v>
      </c>
      <c r="H194" s="34">
        <v>9644</v>
      </c>
      <c r="I194" s="34">
        <v>5780</v>
      </c>
      <c r="J194" s="34">
        <v>4380</v>
      </c>
      <c r="K194" s="36">
        <v>2933.0028000000002</v>
      </c>
      <c r="L194" s="32" t="s">
        <v>361</v>
      </c>
      <c r="M194" s="32"/>
      <c r="N194" s="32" t="s">
        <v>359</v>
      </c>
      <c r="O194" s="33">
        <v>43901.708726851852</v>
      </c>
      <c r="P194" s="32" t="s">
        <v>358</v>
      </c>
      <c r="Q194" s="32" t="s">
        <v>357</v>
      </c>
      <c r="R194" s="32"/>
      <c r="S194" s="32">
        <f>Table_query__44[[#This Row],[Grant Received]]*0.95</f>
        <v>2786.35266</v>
      </c>
      <c r="T194" s="32"/>
      <c r="U194" s="32">
        <f>Table_query__44[[#This Row],[Grant Received]]*0.9</f>
        <v>2639.7025200000003</v>
      </c>
      <c r="V194" s="32"/>
      <c r="W194" s="32">
        <f>Table_query__44[[#This Row],[Grant Received]]*0.8</f>
        <v>2346.4022400000003</v>
      </c>
      <c r="X194" s="32"/>
    </row>
    <row r="195" spans="1:24">
      <c r="A195" s="31" t="str">
        <f>LEFT(Table_query__44[[#This Row],[Title]],(FIND(" ",Table_query__44[[#This Row],[Title]],1)-1))</f>
        <v>ICSMSU</v>
      </c>
      <c r="B195" s="32" t="s">
        <v>537</v>
      </c>
      <c r="C195" s="32" t="s">
        <v>163</v>
      </c>
      <c r="D195" s="34"/>
      <c r="E195" s="34"/>
      <c r="F195" s="32" t="s">
        <v>371</v>
      </c>
      <c r="G195" s="34"/>
      <c r="H195" s="34"/>
      <c r="I195" s="34"/>
      <c r="J195" s="34"/>
      <c r="K195" s="36"/>
      <c r="L195" s="32" t="s">
        <v>361</v>
      </c>
      <c r="M195" s="32"/>
      <c r="N195" s="32" t="s">
        <v>359</v>
      </c>
      <c r="O195" s="33">
        <v>43893.748136574075</v>
      </c>
      <c r="P195" s="32" t="s">
        <v>358</v>
      </c>
      <c r="Q195" s="32" t="s">
        <v>357</v>
      </c>
      <c r="R195" s="32"/>
      <c r="S195" s="32">
        <f>Table_query__44[[#This Row],[Grant Received]]*0.95</f>
        <v>0</v>
      </c>
      <c r="T195" s="32"/>
      <c r="U195" s="32">
        <f>Table_query__44[[#This Row],[Grant Received]]*0.9</f>
        <v>0</v>
      </c>
      <c r="V195" s="32"/>
      <c r="W195" s="32">
        <f>Table_query__44[[#This Row],[Grant Received]]*0.8</f>
        <v>0</v>
      </c>
      <c r="X195" s="32"/>
    </row>
    <row r="196" spans="1:24">
      <c r="A196" s="31" t="str">
        <f>LEFT(Table_query__44[[#This Row],[Title]],(FIND(" ",Table_query__44[[#This Row],[Title]],1)-1))</f>
        <v>ICSMSU</v>
      </c>
      <c r="B196" s="32" t="s">
        <v>537</v>
      </c>
      <c r="C196" s="32" t="s">
        <v>162</v>
      </c>
      <c r="D196" s="34">
        <v>35</v>
      </c>
      <c r="E196" s="34">
        <v>55</v>
      </c>
      <c r="F196" s="32" t="s">
        <v>371</v>
      </c>
      <c r="G196" s="34">
        <v>8574.35</v>
      </c>
      <c r="H196" s="34">
        <v>4160</v>
      </c>
      <c r="I196" s="34">
        <v>2903.3</v>
      </c>
      <c r="J196" s="34">
        <v>2903.3</v>
      </c>
      <c r="K196" s="36">
        <v>1412.7660000000001</v>
      </c>
      <c r="L196" s="32" t="s">
        <v>361</v>
      </c>
      <c r="M196" s="32"/>
      <c r="N196" s="32" t="s">
        <v>359</v>
      </c>
      <c r="O196" s="33">
        <v>43896.880335648151</v>
      </c>
      <c r="P196" s="32" t="s">
        <v>358</v>
      </c>
      <c r="Q196" s="32" t="s">
        <v>357</v>
      </c>
      <c r="R196" s="32"/>
      <c r="S196" s="32">
        <f>Table_query__44[[#This Row],[Grant Received]]*0.95</f>
        <v>1342.1277</v>
      </c>
      <c r="T196" s="32"/>
      <c r="U196" s="32">
        <f>Table_query__44[[#This Row],[Grant Received]]*0.9</f>
        <v>1271.4894000000002</v>
      </c>
      <c r="V196" s="32"/>
      <c r="W196" s="32">
        <f>Table_query__44[[#This Row],[Grant Received]]*0.8</f>
        <v>1130.2128</v>
      </c>
      <c r="X196" s="32"/>
    </row>
    <row r="197" spans="1:24">
      <c r="A197" s="31" t="str">
        <f>LEFT(Table_query__44[[#This Row],[Title]],(FIND(" ",Table_query__44[[#This Row],[Title]],1)-1))</f>
        <v>ICSMSU</v>
      </c>
      <c r="B197" s="32" t="s">
        <v>537</v>
      </c>
      <c r="C197" s="32" t="s">
        <v>161</v>
      </c>
      <c r="D197" s="34">
        <v>45</v>
      </c>
      <c r="E197" s="34">
        <v>65</v>
      </c>
      <c r="F197" s="32" t="s">
        <v>371</v>
      </c>
      <c r="G197" s="34">
        <v>7063.22</v>
      </c>
      <c r="H197" s="34">
        <v>0</v>
      </c>
      <c r="I197" s="34">
        <v>4334.22</v>
      </c>
      <c r="J197" s="34">
        <v>4046.22</v>
      </c>
      <c r="K197" s="36">
        <v>3611.34</v>
      </c>
      <c r="L197" s="32" t="s">
        <v>361</v>
      </c>
      <c r="M197" s="32"/>
      <c r="N197" s="32" t="s">
        <v>359</v>
      </c>
      <c r="O197" s="33">
        <v>43896.880567129629</v>
      </c>
      <c r="P197" s="32" t="s">
        <v>358</v>
      </c>
      <c r="Q197" s="32" t="s">
        <v>357</v>
      </c>
      <c r="R197" s="32"/>
      <c r="S197" s="32">
        <f>Table_query__44[[#This Row],[Grant Received]]*0.95</f>
        <v>3430.7730000000001</v>
      </c>
      <c r="T197" s="32"/>
      <c r="U197" s="32">
        <f>Table_query__44[[#This Row],[Grant Received]]*0.9</f>
        <v>3250.2060000000001</v>
      </c>
      <c r="V197" s="32"/>
      <c r="W197" s="32">
        <f>Table_query__44[[#This Row],[Grant Received]]*0.8</f>
        <v>2889.0720000000001</v>
      </c>
      <c r="X197" s="32"/>
    </row>
    <row r="198" spans="1:24">
      <c r="A198" s="31" t="str">
        <f>LEFT(Table_query__44[[#This Row],[Title]],(FIND(" ",Table_query__44[[#This Row],[Title]],1)-1))</f>
        <v>ICSMSU</v>
      </c>
      <c r="B198" s="32" t="s">
        <v>537</v>
      </c>
      <c r="C198" s="32" t="s">
        <v>160</v>
      </c>
      <c r="D198" s="34">
        <v>25</v>
      </c>
      <c r="E198" s="34">
        <v>10</v>
      </c>
      <c r="F198" s="32" t="s">
        <v>371</v>
      </c>
      <c r="G198" s="34"/>
      <c r="H198" s="34"/>
      <c r="I198" s="34"/>
      <c r="J198" s="34"/>
      <c r="K198" s="36"/>
      <c r="L198" s="32" t="s">
        <v>361</v>
      </c>
      <c r="M198" s="32"/>
      <c r="N198" s="32" t="s">
        <v>359</v>
      </c>
      <c r="O198" s="33">
        <v>43893.74832175926</v>
      </c>
      <c r="P198" s="32" t="s">
        <v>358</v>
      </c>
      <c r="Q198" s="32" t="s">
        <v>357</v>
      </c>
      <c r="R198" s="32"/>
      <c r="S198" s="32">
        <f>Table_query__44[[#This Row],[Grant Received]]*0.95</f>
        <v>0</v>
      </c>
      <c r="T198" s="32"/>
      <c r="U198" s="32">
        <f>Table_query__44[[#This Row],[Grant Received]]*0.9</f>
        <v>0</v>
      </c>
      <c r="V198" s="32"/>
      <c r="W198" s="32">
        <f>Table_query__44[[#This Row],[Grant Received]]*0.8</f>
        <v>0</v>
      </c>
      <c r="X198" s="32"/>
    </row>
    <row r="199" spans="1:24">
      <c r="A199" s="31" t="str">
        <f>LEFT(Table_query__44[[#This Row],[Title]],(FIND(" ",Table_query__44[[#This Row],[Title]],1)-1))</f>
        <v>KNC</v>
      </c>
      <c r="B199" s="32" t="s">
        <v>425</v>
      </c>
      <c r="C199" s="32" t="s">
        <v>159</v>
      </c>
      <c r="D199" s="34"/>
      <c r="E199" s="34"/>
      <c r="F199" s="32" t="s">
        <v>425</v>
      </c>
      <c r="G199" s="34"/>
      <c r="H199" s="34"/>
      <c r="I199" s="34"/>
      <c r="J199" s="34"/>
      <c r="K199" s="36"/>
      <c r="L199" s="32" t="s">
        <v>361</v>
      </c>
      <c r="M199" s="32"/>
      <c r="N199" s="32" t="s">
        <v>359</v>
      </c>
      <c r="O199" s="33">
        <v>43891.772812499999</v>
      </c>
      <c r="P199" s="32" t="s">
        <v>358</v>
      </c>
      <c r="Q199" s="32" t="s">
        <v>357</v>
      </c>
      <c r="R199" s="32"/>
      <c r="S199" s="32">
        <f>Table_query__44[[#This Row],[Grant Received]]*0.95</f>
        <v>0</v>
      </c>
      <c r="T199" s="32"/>
      <c r="U199" s="32">
        <f>Table_query__44[[#This Row],[Grant Received]]*0.9</f>
        <v>0</v>
      </c>
      <c r="V199" s="32"/>
      <c r="W199" s="32">
        <f>Table_query__44[[#This Row],[Grant Received]]*0.8</f>
        <v>0</v>
      </c>
      <c r="X199" s="32"/>
    </row>
    <row r="200" spans="1:24">
      <c r="A200" s="31" t="str">
        <f>LEFT(Table_query__44[[#This Row],[Title]],(FIND(" ",Table_query__44[[#This Row],[Title]],1)-1))</f>
        <v>KNC</v>
      </c>
      <c r="B200" s="32" t="s">
        <v>425</v>
      </c>
      <c r="C200" s="32" t="s">
        <v>158</v>
      </c>
      <c r="D200" s="34"/>
      <c r="E200" s="34"/>
      <c r="F200" s="32" t="s">
        <v>425</v>
      </c>
      <c r="G200" s="34"/>
      <c r="H200" s="34"/>
      <c r="I200" s="34"/>
      <c r="J200" s="34"/>
      <c r="K200" s="36"/>
      <c r="L200" s="32" t="s">
        <v>361</v>
      </c>
      <c r="M200" s="32"/>
      <c r="N200" s="32" t="s">
        <v>359</v>
      </c>
      <c r="O200" s="33">
        <v>43891.772905092592</v>
      </c>
      <c r="P200" s="32" t="s">
        <v>358</v>
      </c>
      <c r="Q200" s="32" t="s">
        <v>357</v>
      </c>
      <c r="R200" s="32"/>
      <c r="S200" s="32">
        <f>Table_query__44[[#This Row],[Grant Received]]*0.95</f>
        <v>0</v>
      </c>
      <c r="T200" s="32"/>
      <c r="U200" s="32">
        <f>Table_query__44[[#This Row],[Grant Received]]*0.9</f>
        <v>0</v>
      </c>
      <c r="V200" s="32"/>
      <c r="W200" s="32">
        <f>Table_query__44[[#This Row],[Grant Received]]*0.8</f>
        <v>0</v>
      </c>
      <c r="X200" s="32"/>
    </row>
    <row r="201" spans="1:24">
      <c r="A201" s="31" t="str">
        <f>LEFT(Table_query__44[[#This Row],[Title]],(FIND(" ",Table_query__44[[#This Row],[Title]],1)-1))</f>
        <v>KNC</v>
      </c>
      <c r="B201" s="32" t="s">
        <v>425</v>
      </c>
      <c r="C201" s="32" t="s">
        <v>157</v>
      </c>
      <c r="D201" s="34">
        <v>530</v>
      </c>
      <c r="E201" s="34">
        <v>0</v>
      </c>
      <c r="F201" s="32" t="s">
        <v>425</v>
      </c>
      <c r="G201" s="34">
        <v>965</v>
      </c>
      <c r="H201" s="34">
        <v>965</v>
      </c>
      <c r="I201" s="34">
        <v>0</v>
      </c>
      <c r="J201" s="34"/>
      <c r="K201" s="36"/>
      <c r="L201" s="32" t="s">
        <v>361</v>
      </c>
      <c r="M201" s="32"/>
      <c r="N201" s="32" t="s">
        <v>359</v>
      </c>
      <c r="O201" s="33">
        <v>43891.773298611108</v>
      </c>
      <c r="P201" s="32" t="s">
        <v>358</v>
      </c>
      <c r="Q201" s="32" t="s">
        <v>357</v>
      </c>
      <c r="R201" s="32"/>
      <c r="S201" s="32">
        <f>Table_query__44[[#This Row],[Grant Received]]*0.95</f>
        <v>0</v>
      </c>
      <c r="T201" s="32"/>
      <c r="U201" s="32">
        <f>Table_query__44[[#This Row],[Grant Received]]*0.9</f>
        <v>0</v>
      </c>
      <c r="V201" s="32"/>
      <c r="W201" s="32">
        <f>Table_query__44[[#This Row],[Grant Received]]*0.8</f>
        <v>0</v>
      </c>
      <c r="X201" s="32"/>
    </row>
    <row r="202" spans="1:24">
      <c r="A202" s="31" t="str">
        <f>LEFT(Table_query__44[[#This Row],[Title]],(FIND(" ",Table_query__44[[#This Row],[Title]],1)-1))</f>
        <v>KNC</v>
      </c>
      <c r="B202" s="32" t="s">
        <v>425</v>
      </c>
      <c r="C202" s="32" t="s">
        <v>428</v>
      </c>
      <c r="D202" s="34"/>
      <c r="E202" s="34"/>
      <c r="F202" s="32" t="s">
        <v>425</v>
      </c>
      <c r="G202" s="34"/>
      <c r="H202" s="34"/>
      <c r="I202" s="34"/>
      <c r="J202" s="34"/>
      <c r="K202" s="36"/>
      <c r="L202" s="32" t="s">
        <v>361</v>
      </c>
      <c r="M202" s="32"/>
      <c r="N202" s="32" t="s">
        <v>359</v>
      </c>
      <c r="O202" s="33">
        <v>43891.77380787037</v>
      </c>
      <c r="P202" s="32" t="s">
        <v>358</v>
      </c>
      <c r="Q202" s="32" t="s">
        <v>357</v>
      </c>
      <c r="R202" s="32"/>
      <c r="S202" s="32">
        <f>Table_query__44[[#This Row],[Grant Received]]*0.95</f>
        <v>0</v>
      </c>
      <c r="T202" s="32"/>
      <c r="U202" s="32">
        <f>Table_query__44[[#This Row],[Grant Received]]*0.9</f>
        <v>0</v>
      </c>
      <c r="V202" s="32"/>
      <c r="W202" s="32">
        <f>Table_query__44[[#This Row],[Grant Received]]*0.8</f>
        <v>0</v>
      </c>
      <c r="X202" s="32"/>
    </row>
    <row r="203" spans="1:24">
      <c r="A203" s="31" t="str">
        <f>LEFT(Table_query__44[[#This Row],[Title]],(FIND(" ",Table_query__44[[#This Row],[Title]],1)-1))</f>
        <v>KNC</v>
      </c>
      <c r="B203" s="32" t="s">
        <v>425</v>
      </c>
      <c r="C203" s="32" t="s">
        <v>156</v>
      </c>
      <c r="D203" s="34"/>
      <c r="E203" s="34"/>
      <c r="F203" s="32" t="s">
        <v>425</v>
      </c>
      <c r="G203" s="34"/>
      <c r="H203" s="34"/>
      <c r="I203" s="34"/>
      <c r="J203" s="34"/>
      <c r="K203" s="36"/>
      <c r="L203" s="32" t="s">
        <v>361</v>
      </c>
      <c r="M203" s="32"/>
      <c r="N203" s="32" t="s">
        <v>359</v>
      </c>
      <c r="O203" s="33">
        <v>43891.773865740739</v>
      </c>
      <c r="P203" s="32" t="s">
        <v>358</v>
      </c>
      <c r="Q203" s="32" t="s">
        <v>357</v>
      </c>
      <c r="R203" s="32"/>
      <c r="S203" s="32">
        <f>Table_query__44[[#This Row],[Grant Received]]*0.95</f>
        <v>0</v>
      </c>
      <c r="T203" s="32"/>
      <c r="U203" s="32">
        <f>Table_query__44[[#This Row],[Grant Received]]*0.9</f>
        <v>0</v>
      </c>
      <c r="V203" s="32"/>
      <c r="W203" s="32">
        <f>Table_query__44[[#This Row],[Grant Received]]*0.8</f>
        <v>0</v>
      </c>
      <c r="X203" s="32"/>
    </row>
    <row r="204" spans="1:24">
      <c r="A204" s="31" t="str">
        <f>LEFT(Table_query__44[[#This Row],[Title]],(FIND(" ",Table_query__44[[#This Row],[Title]],1)-1))</f>
        <v>KNC</v>
      </c>
      <c r="B204" s="32" t="s">
        <v>425</v>
      </c>
      <c r="C204" s="32" t="s">
        <v>427</v>
      </c>
      <c r="D204" s="34">
        <v>119</v>
      </c>
      <c r="E204" s="34">
        <v>0</v>
      </c>
      <c r="F204" s="32" t="s">
        <v>425</v>
      </c>
      <c r="G204" s="34">
        <v>500</v>
      </c>
      <c r="H204" s="34">
        <v>0</v>
      </c>
      <c r="I204" s="34">
        <v>0</v>
      </c>
      <c r="J204" s="34"/>
      <c r="K204" s="36"/>
      <c r="L204" s="32" t="s">
        <v>361</v>
      </c>
      <c r="M204" s="32"/>
      <c r="N204" s="32" t="s">
        <v>359</v>
      </c>
      <c r="O204" s="33">
        <v>43891.774050925924</v>
      </c>
      <c r="P204" s="32" t="s">
        <v>358</v>
      </c>
      <c r="Q204" s="32" t="s">
        <v>357</v>
      </c>
      <c r="R204" s="32"/>
      <c r="S204" s="32">
        <f>Table_query__44[[#This Row],[Grant Received]]*0.95</f>
        <v>0</v>
      </c>
      <c r="T204" s="32"/>
      <c r="U204" s="32">
        <f>Table_query__44[[#This Row],[Grant Received]]*0.9</f>
        <v>0</v>
      </c>
      <c r="V204" s="32"/>
      <c r="W204" s="32">
        <f>Table_query__44[[#This Row],[Grant Received]]*0.8</f>
        <v>0</v>
      </c>
      <c r="X204" s="32"/>
    </row>
    <row r="205" spans="1:24">
      <c r="A205" s="31" t="str">
        <f>LEFT(Table_query__44[[#This Row],[Title]],(FIND(" ",Table_query__44[[#This Row],[Title]],1)-1))</f>
        <v>KNC</v>
      </c>
      <c r="B205" s="32" t="s">
        <v>425</v>
      </c>
      <c r="C205" s="32" t="s">
        <v>155</v>
      </c>
      <c r="D205" s="34"/>
      <c r="E205" s="34"/>
      <c r="F205" s="32" t="s">
        <v>425</v>
      </c>
      <c r="G205" s="34"/>
      <c r="H205" s="34"/>
      <c r="I205" s="34"/>
      <c r="J205" s="34"/>
      <c r="K205" s="36"/>
      <c r="L205" s="32" t="s">
        <v>361</v>
      </c>
      <c r="M205" s="32"/>
      <c r="N205" s="32" t="s">
        <v>359</v>
      </c>
      <c r="O205" s="33">
        <v>43891.774201388886</v>
      </c>
      <c r="P205" s="32" t="s">
        <v>358</v>
      </c>
      <c r="Q205" s="32" t="s">
        <v>357</v>
      </c>
      <c r="R205" s="32"/>
      <c r="S205" s="32">
        <f>Table_query__44[[#This Row],[Grant Received]]*0.95</f>
        <v>0</v>
      </c>
      <c r="T205" s="32"/>
      <c r="U205" s="32">
        <f>Table_query__44[[#This Row],[Grant Received]]*0.9</f>
        <v>0</v>
      </c>
      <c r="V205" s="32"/>
      <c r="W205" s="32">
        <f>Table_query__44[[#This Row],[Grant Received]]*0.8</f>
        <v>0</v>
      </c>
      <c r="X205" s="32"/>
    </row>
    <row r="206" spans="1:24">
      <c r="A206" s="31" t="str">
        <f>LEFT(Table_query__44[[#This Row],[Title]],(FIND(" ",Table_query__44[[#This Row],[Title]],1)-1))</f>
        <v>KNC</v>
      </c>
      <c r="B206" s="32" t="s">
        <v>425</v>
      </c>
      <c r="C206" s="32" t="s">
        <v>426</v>
      </c>
      <c r="D206" s="34"/>
      <c r="E206" s="34"/>
      <c r="F206" s="32" t="s">
        <v>425</v>
      </c>
      <c r="G206" s="34"/>
      <c r="H206" s="34"/>
      <c r="I206" s="34"/>
      <c r="J206" s="34"/>
      <c r="K206" s="36"/>
      <c r="L206" s="32" t="s">
        <v>361</v>
      </c>
      <c r="M206" s="32"/>
      <c r="N206" s="32" t="s">
        <v>359</v>
      </c>
      <c r="O206" s="33">
        <v>43891.774270833332</v>
      </c>
      <c r="P206" s="32" t="s">
        <v>358</v>
      </c>
      <c r="Q206" s="32" t="s">
        <v>357</v>
      </c>
      <c r="R206" s="32"/>
      <c r="S206" s="32">
        <f>Table_query__44[[#This Row],[Grant Received]]*0.95</f>
        <v>0</v>
      </c>
      <c r="T206" s="32"/>
      <c r="U206" s="32">
        <f>Table_query__44[[#This Row],[Grant Received]]*0.9</f>
        <v>0</v>
      </c>
      <c r="V206" s="32"/>
      <c r="W206" s="32">
        <f>Table_query__44[[#This Row],[Grant Received]]*0.8</f>
        <v>0</v>
      </c>
      <c r="X206" s="32"/>
    </row>
    <row r="207" spans="1:24">
      <c r="A207" s="31" t="str">
        <f>LEFT(Table_query__44[[#This Row],[Title]],(FIND(" ",Table_query__44[[#This Row],[Title]],1)-1))</f>
        <v>KNC</v>
      </c>
      <c r="B207" s="32" t="s">
        <v>425</v>
      </c>
      <c r="C207" s="32" t="s">
        <v>154</v>
      </c>
      <c r="D207" s="34"/>
      <c r="E207" s="34"/>
      <c r="F207" s="32" t="s">
        <v>425</v>
      </c>
      <c r="G207" s="34"/>
      <c r="H207" s="34"/>
      <c r="I207" s="34"/>
      <c r="J207" s="34"/>
      <c r="K207" s="36"/>
      <c r="L207" s="32" t="s">
        <v>361</v>
      </c>
      <c r="M207" s="32"/>
      <c r="N207" s="32" t="s">
        <v>359</v>
      </c>
      <c r="O207" s="33">
        <v>43891.774409722224</v>
      </c>
      <c r="P207" s="32" t="s">
        <v>358</v>
      </c>
      <c r="Q207" s="32" t="s">
        <v>357</v>
      </c>
      <c r="R207" s="32"/>
      <c r="S207" s="32">
        <f>Table_query__44[[#This Row],[Grant Received]]*0.95</f>
        <v>0</v>
      </c>
      <c r="T207" s="32"/>
      <c r="U207" s="32">
        <f>Table_query__44[[#This Row],[Grant Received]]*0.9</f>
        <v>0</v>
      </c>
      <c r="V207" s="32"/>
      <c r="W207" s="32">
        <f>Table_query__44[[#This Row],[Grant Received]]*0.8</f>
        <v>0</v>
      </c>
      <c r="X207" s="32"/>
    </row>
    <row r="208" spans="1:24">
      <c r="A208" s="31" t="str">
        <f>LEFT(Table_query__44[[#This Row],[Title]],(FIND(" ",Table_query__44[[#This Row],[Title]],1)-1))</f>
        <v>KNC</v>
      </c>
      <c r="B208" s="32" t="s">
        <v>425</v>
      </c>
      <c r="C208" s="32" t="s">
        <v>153</v>
      </c>
      <c r="D208" s="34"/>
      <c r="E208" s="34"/>
      <c r="F208" s="32" t="s">
        <v>425</v>
      </c>
      <c r="G208" s="34"/>
      <c r="H208" s="34"/>
      <c r="I208" s="34"/>
      <c r="J208" s="34"/>
      <c r="K208" s="36"/>
      <c r="L208" s="32" t="s">
        <v>361</v>
      </c>
      <c r="M208" s="32"/>
      <c r="N208" s="32" t="s">
        <v>359</v>
      </c>
      <c r="O208" s="33">
        <v>43891.77447916667</v>
      </c>
      <c r="P208" s="32" t="s">
        <v>358</v>
      </c>
      <c r="Q208" s="32" t="s">
        <v>357</v>
      </c>
      <c r="R208" s="32"/>
      <c r="S208" s="32">
        <f>Table_query__44[[#This Row],[Grant Received]]*0.95</f>
        <v>0</v>
      </c>
      <c r="T208" s="32"/>
      <c r="U208" s="32">
        <f>Table_query__44[[#This Row],[Grant Received]]*0.9</f>
        <v>0</v>
      </c>
      <c r="V208" s="32"/>
      <c r="W208" s="32">
        <f>Table_query__44[[#This Row],[Grant Received]]*0.8</f>
        <v>0</v>
      </c>
      <c r="X208" s="32"/>
    </row>
    <row r="209" spans="1:24">
      <c r="A209" s="31" t="str">
        <f>LEFT(Table_query__44[[#This Row],[Title]],(FIND(" ",Table_query__44[[#This Row],[Title]],1)-1))</f>
        <v>KND</v>
      </c>
      <c r="B209" s="32" t="s">
        <v>422</v>
      </c>
      <c r="C209" s="32" t="s">
        <v>152</v>
      </c>
      <c r="D209" s="34"/>
      <c r="E209" s="34"/>
      <c r="F209" s="32" t="s">
        <v>422</v>
      </c>
      <c r="G209" s="34"/>
      <c r="H209" s="34"/>
      <c r="I209" s="34"/>
      <c r="J209" s="34"/>
      <c r="K209" s="36"/>
      <c r="L209" s="32" t="s">
        <v>361</v>
      </c>
      <c r="M209" s="32"/>
      <c r="N209" s="32" t="s">
        <v>359</v>
      </c>
      <c r="O209" s="33">
        <v>43891.795532407406</v>
      </c>
      <c r="P209" s="32" t="s">
        <v>358</v>
      </c>
      <c r="Q209" s="32" t="s">
        <v>357</v>
      </c>
      <c r="R209" s="32"/>
      <c r="S209" s="32">
        <f>Table_query__44[[#This Row],[Grant Received]]*0.95</f>
        <v>0</v>
      </c>
      <c r="T209" s="32"/>
      <c r="U209" s="32">
        <f>Table_query__44[[#This Row],[Grant Received]]*0.9</f>
        <v>0</v>
      </c>
      <c r="V209" s="32"/>
      <c r="W209" s="32">
        <f>Table_query__44[[#This Row],[Grant Received]]*0.8</f>
        <v>0</v>
      </c>
      <c r="X209" s="32"/>
    </row>
    <row r="210" spans="1:24">
      <c r="A210" s="31" t="str">
        <f>LEFT(Table_query__44[[#This Row],[Title]],(FIND(" ",Table_query__44[[#This Row],[Title]],1)-1))</f>
        <v>KND</v>
      </c>
      <c r="B210" s="32" t="s">
        <v>422</v>
      </c>
      <c r="C210" s="32" t="s">
        <v>424</v>
      </c>
      <c r="D210" s="34">
        <v>50</v>
      </c>
      <c r="E210" s="34">
        <v>0</v>
      </c>
      <c r="F210" s="32" t="s">
        <v>422</v>
      </c>
      <c r="G210" s="34">
        <v>420</v>
      </c>
      <c r="H210" s="34">
        <v>595</v>
      </c>
      <c r="I210" s="34">
        <v>195</v>
      </c>
      <c r="J210" s="34">
        <v>60</v>
      </c>
      <c r="K210" s="36">
        <v>0</v>
      </c>
      <c r="L210" s="32" t="s">
        <v>361</v>
      </c>
      <c r="M210" s="32"/>
      <c r="N210" s="32" t="s">
        <v>359</v>
      </c>
      <c r="O210" s="33">
        <v>43891.797337962962</v>
      </c>
      <c r="P210" s="32" t="s">
        <v>358</v>
      </c>
      <c r="Q210" s="32" t="s">
        <v>357</v>
      </c>
      <c r="R210" s="32"/>
      <c r="S210" s="32">
        <f>Table_query__44[[#This Row],[Grant Received]]*0.95</f>
        <v>0</v>
      </c>
      <c r="T210" s="32"/>
      <c r="U210" s="32">
        <f>Table_query__44[[#This Row],[Grant Received]]*0.9</f>
        <v>0</v>
      </c>
      <c r="V210" s="32"/>
      <c r="W210" s="32">
        <f>Table_query__44[[#This Row],[Grant Received]]*0.8</f>
        <v>0</v>
      </c>
      <c r="X210" s="32"/>
    </row>
    <row r="211" spans="1:24">
      <c r="A211" s="31" t="str">
        <f>LEFT(Table_query__44[[#This Row],[Title]],(FIND(" ",Table_query__44[[#This Row],[Title]],1)-1))</f>
        <v>KND</v>
      </c>
      <c r="B211" s="32" t="s">
        <v>422</v>
      </c>
      <c r="C211" s="32" t="s">
        <v>151</v>
      </c>
      <c r="D211" s="34">
        <v>40</v>
      </c>
      <c r="E211" s="34">
        <v>10</v>
      </c>
      <c r="F211" s="32" t="s">
        <v>422</v>
      </c>
      <c r="G211" s="34">
        <v>9101</v>
      </c>
      <c r="H211" s="34">
        <v>5958.34</v>
      </c>
      <c r="I211" s="34">
        <v>2772.5</v>
      </c>
      <c r="J211" s="34">
        <v>2272.5</v>
      </c>
      <c r="K211" s="36">
        <v>764.7</v>
      </c>
      <c r="L211" s="32" t="s">
        <v>361</v>
      </c>
      <c r="M211" s="32"/>
      <c r="N211" s="32" t="s">
        <v>359</v>
      </c>
      <c r="O211" s="33">
        <v>43896.880891203706</v>
      </c>
      <c r="P211" s="32" t="s">
        <v>358</v>
      </c>
      <c r="Q211" s="32" t="s">
        <v>357</v>
      </c>
      <c r="R211" s="32"/>
      <c r="S211" s="32">
        <f>Table_query__44[[#This Row],[Grant Received]]*0.95</f>
        <v>726.46500000000003</v>
      </c>
      <c r="T211" s="32"/>
      <c r="U211" s="32">
        <f>Table_query__44[[#This Row],[Grant Received]]*0.9</f>
        <v>688.23</v>
      </c>
      <c r="V211" s="32"/>
      <c r="W211" s="32">
        <f>Table_query__44[[#This Row],[Grant Received]]*0.8</f>
        <v>611.7600000000001</v>
      </c>
      <c r="X211" s="32"/>
    </row>
    <row r="212" spans="1:24">
      <c r="A212" s="31" t="str">
        <f>LEFT(Table_query__44[[#This Row],[Title]],(FIND(" ",Table_query__44[[#This Row],[Title]],1)-1))</f>
        <v>KND</v>
      </c>
      <c r="B212" s="32" t="s">
        <v>422</v>
      </c>
      <c r="C212" s="32" t="s">
        <v>150</v>
      </c>
      <c r="D212" s="34">
        <v>25</v>
      </c>
      <c r="E212" s="34">
        <v>3</v>
      </c>
      <c r="F212" s="32" t="s">
        <v>422</v>
      </c>
      <c r="G212" s="34">
        <v>485</v>
      </c>
      <c r="H212" s="34">
        <v>210</v>
      </c>
      <c r="I212" s="34">
        <v>170</v>
      </c>
      <c r="J212" s="34">
        <v>145</v>
      </c>
      <c r="K212" s="36">
        <v>85</v>
      </c>
      <c r="L212" s="32" t="s">
        <v>361</v>
      </c>
      <c r="M212" s="32"/>
      <c r="N212" s="32" t="s">
        <v>359</v>
      </c>
      <c r="O212" s="33">
        <v>43896.881099537037</v>
      </c>
      <c r="P212" s="32" t="s">
        <v>358</v>
      </c>
      <c r="Q212" s="32" t="s">
        <v>357</v>
      </c>
      <c r="R212" s="32"/>
      <c r="S212" s="32">
        <f>Table_query__44[[#This Row],[Grant Received]]*0.95</f>
        <v>80.75</v>
      </c>
      <c r="T212" s="32"/>
      <c r="U212" s="32">
        <f>Table_query__44[[#This Row],[Grant Received]]*0.9</f>
        <v>76.5</v>
      </c>
      <c r="V212" s="32"/>
      <c r="W212" s="32">
        <f>Table_query__44[[#This Row],[Grant Received]]*0.8</f>
        <v>68</v>
      </c>
      <c r="X212" s="32"/>
    </row>
    <row r="213" spans="1:24">
      <c r="A213" s="31" t="str">
        <f>LEFT(Table_query__44[[#This Row],[Title]],(FIND(" ",Table_query__44[[#This Row],[Title]],1)-1))</f>
        <v>KND</v>
      </c>
      <c r="B213" s="32" t="s">
        <v>422</v>
      </c>
      <c r="C213" s="32" t="s">
        <v>423</v>
      </c>
      <c r="D213" s="34"/>
      <c r="E213" s="34"/>
      <c r="F213" s="32" t="s">
        <v>422</v>
      </c>
      <c r="G213" s="34">
        <v>1338.39</v>
      </c>
      <c r="H213" s="34">
        <v>0</v>
      </c>
      <c r="I213" s="34">
        <v>845</v>
      </c>
      <c r="J213" s="34">
        <v>705</v>
      </c>
      <c r="K213" s="36">
        <v>259.5</v>
      </c>
      <c r="L213" s="32" t="s">
        <v>361</v>
      </c>
      <c r="M213" s="32"/>
      <c r="N213" s="32" t="s">
        <v>359</v>
      </c>
      <c r="O213" s="33">
        <v>43896.881319444445</v>
      </c>
      <c r="P213" s="32" t="s">
        <v>358</v>
      </c>
      <c r="Q213" s="32" t="s">
        <v>357</v>
      </c>
      <c r="R213" s="32"/>
      <c r="S213" s="32">
        <f>Table_query__44[[#This Row],[Grant Received]]*0.95</f>
        <v>246.52499999999998</v>
      </c>
      <c r="T213" s="32"/>
      <c r="U213" s="32">
        <f>Table_query__44[[#This Row],[Grant Received]]*0.9</f>
        <v>233.55</v>
      </c>
      <c r="V213" s="32"/>
      <c r="W213" s="32">
        <f>Table_query__44[[#This Row],[Grant Received]]*0.8</f>
        <v>207.60000000000002</v>
      </c>
      <c r="X213" s="32"/>
    </row>
    <row r="214" spans="1:24">
      <c r="A214" s="31" t="str">
        <f>LEFT(Table_query__44[[#This Row],[Title]],(FIND(" ",Table_query__44[[#This Row],[Title]],1)-1))</f>
        <v>KND</v>
      </c>
      <c r="B214" s="32" t="s">
        <v>422</v>
      </c>
      <c r="C214" s="32" t="s">
        <v>149</v>
      </c>
      <c r="D214" s="34">
        <v>80</v>
      </c>
      <c r="E214" s="34">
        <v>2</v>
      </c>
      <c r="F214" s="32" t="s">
        <v>422</v>
      </c>
      <c r="G214" s="34">
        <v>2570</v>
      </c>
      <c r="H214" s="34">
        <v>1680</v>
      </c>
      <c r="I214" s="34">
        <v>930</v>
      </c>
      <c r="J214" s="34">
        <v>880</v>
      </c>
      <c r="K214" s="36">
        <v>474</v>
      </c>
      <c r="L214" s="32" t="s">
        <v>361</v>
      </c>
      <c r="M214" s="32"/>
      <c r="N214" s="32" t="s">
        <v>359</v>
      </c>
      <c r="O214" s="33">
        <v>43891.802685185183</v>
      </c>
      <c r="P214" s="32" t="s">
        <v>358</v>
      </c>
      <c r="Q214" s="32" t="s">
        <v>357</v>
      </c>
      <c r="R214" s="32"/>
      <c r="S214" s="32">
        <f>Table_query__44[[#This Row],[Grant Received]]*0.95</f>
        <v>450.29999999999995</v>
      </c>
      <c r="T214" s="32"/>
      <c r="U214" s="32">
        <f>Table_query__44[[#This Row],[Grant Received]]*0.9</f>
        <v>426.6</v>
      </c>
      <c r="V214" s="32"/>
      <c r="W214" s="32">
        <f>Table_query__44[[#This Row],[Grant Received]]*0.8</f>
        <v>379.20000000000005</v>
      </c>
      <c r="X214" s="32"/>
    </row>
    <row r="215" spans="1:24">
      <c r="A215" s="31" t="str">
        <f>LEFT(Table_query__44[[#This Row],[Title]],(FIND(" ",Table_query__44[[#This Row],[Title]],1)-1))</f>
        <v>KND</v>
      </c>
      <c r="B215" s="32" t="s">
        <v>422</v>
      </c>
      <c r="C215" s="32" t="s">
        <v>148</v>
      </c>
      <c r="D215" s="34">
        <v>70</v>
      </c>
      <c r="E215" s="34">
        <v>0</v>
      </c>
      <c r="F215" s="32" t="s">
        <v>422</v>
      </c>
      <c r="G215" s="34">
        <v>80</v>
      </c>
      <c r="H215" s="34">
        <v>0</v>
      </c>
      <c r="I215" s="34">
        <v>80</v>
      </c>
      <c r="J215" s="34">
        <v>0</v>
      </c>
      <c r="K215" s="36">
        <v>0</v>
      </c>
      <c r="L215" s="32" t="s">
        <v>361</v>
      </c>
      <c r="M215" s="32"/>
      <c r="N215" s="32" t="s">
        <v>359</v>
      </c>
      <c r="O215" s="33">
        <v>43891.803113425929</v>
      </c>
      <c r="P215" s="32" t="s">
        <v>358</v>
      </c>
      <c r="Q215" s="32" t="s">
        <v>357</v>
      </c>
      <c r="R215" s="32"/>
      <c r="S215" s="32">
        <f>Table_query__44[[#This Row],[Grant Received]]*0.95</f>
        <v>0</v>
      </c>
      <c r="T215" s="32"/>
      <c r="U215" s="32">
        <f>Table_query__44[[#This Row],[Grant Received]]*0.9</f>
        <v>0</v>
      </c>
      <c r="V215" s="32"/>
      <c r="W215" s="32">
        <f>Table_query__44[[#This Row],[Grant Received]]*0.8</f>
        <v>0</v>
      </c>
      <c r="X215" s="32"/>
    </row>
    <row r="216" spans="1:24">
      <c r="A216" s="31" t="str">
        <f>LEFT(Table_query__44[[#This Row],[Title]],(FIND(" ",Table_query__44[[#This Row],[Title]],1)-1))</f>
        <v>KND</v>
      </c>
      <c r="B216" s="32" t="s">
        <v>422</v>
      </c>
      <c r="C216" s="32" t="s">
        <v>147</v>
      </c>
      <c r="D216" s="34">
        <v>40</v>
      </c>
      <c r="E216" s="34">
        <v>10</v>
      </c>
      <c r="F216" s="32" t="s">
        <v>422</v>
      </c>
      <c r="G216" s="34">
        <v>8940</v>
      </c>
      <c r="H216" s="34">
        <v>5765</v>
      </c>
      <c r="I216" s="34">
        <v>3305</v>
      </c>
      <c r="J216" s="34">
        <v>1725</v>
      </c>
      <c r="K216" s="36">
        <v>1568.8875</v>
      </c>
      <c r="L216" s="32" t="s">
        <v>361</v>
      </c>
      <c r="M216" s="32"/>
      <c r="N216" s="32" t="s">
        <v>359</v>
      </c>
      <c r="O216" s="33">
        <v>43901.709456018521</v>
      </c>
      <c r="P216" s="32" t="s">
        <v>358</v>
      </c>
      <c r="Q216" s="32" t="s">
        <v>357</v>
      </c>
      <c r="R216" s="32"/>
      <c r="S216" s="32">
        <f>Table_query__44[[#This Row],[Grant Received]]*0.95</f>
        <v>1490.443125</v>
      </c>
      <c r="T216" s="32"/>
      <c r="U216" s="32">
        <f>Table_query__44[[#This Row],[Grant Received]]*0.9</f>
        <v>1411.99875</v>
      </c>
      <c r="V216" s="32"/>
      <c r="W216" s="32">
        <f>Table_query__44[[#This Row],[Grant Received]]*0.8</f>
        <v>1255.1100000000001</v>
      </c>
      <c r="X216" s="32"/>
    </row>
    <row r="217" spans="1:24">
      <c r="A217" s="31" t="str">
        <f>LEFT(Table_query__44[[#This Row],[Title]],(FIND(" ",Table_query__44[[#This Row],[Title]],1)-1))</f>
        <v>KND</v>
      </c>
      <c r="B217" s="32" t="s">
        <v>422</v>
      </c>
      <c r="C217" s="32" t="s">
        <v>146</v>
      </c>
      <c r="D217" s="34"/>
      <c r="E217" s="34"/>
      <c r="F217" s="32" t="s">
        <v>422</v>
      </c>
      <c r="G217" s="34"/>
      <c r="H217" s="34"/>
      <c r="I217" s="34"/>
      <c r="J217" s="34"/>
      <c r="K217" s="36"/>
      <c r="L217" s="32" t="s">
        <v>361</v>
      </c>
      <c r="M217" s="32"/>
      <c r="N217" s="32" t="s">
        <v>359</v>
      </c>
      <c r="O217" s="33">
        <v>43891.803217592591</v>
      </c>
      <c r="P217" s="32" t="s">
        <v>358</v>
      </c>
      <c r="Q217" s="32" t="s">
        <v>357</v>
      </c>
      <c r="R217" s="32"/>
      <c r="S217" s="32">
        <f>Table_query__44[[#This Row],[Grant Received]]*0.95</f>
        <v>0</v>
      </c>
      <c r="T217" s="32"/>
      <c r="U217" s="32">
        <f>Table_query__44[[#This Row],[Grant Received]]*0.9</f>
        <v>0</v>
      </c>
      <c r="V217" s="32"/>
      <c r="W217" s="32">
        <f>Table_query__44[[#This Row],[Grant Received]]*0.8</f>
        <v>0</v>
      </c>
      <c r="X217" s="32"/>
    </row>
    <row r="218" spans="1:24">
      <c r="A218" s="31" t="str">
        <f>LEFT(Table_query__44[[#This Row],[Title]],(FIND(" ",Table_query__44[[#This Row],[Title]],1)-1))</f>
        <v>KND</v>
      </c>
      <c r="B218" s="32" t="s">
        <v>422</v>
      </c>
      <c r="C218" s="32" t="s">
        <v>145</v>
      </c>
      <c r="D218" s="34">
        <v>40</v>
      </c>
      <c r="E218" s="34">
        <v>15</v>
      </c>
      <c r="F218" s="32" t="s">
        <v>422</v>
      </c>
      <c r="G218" s="34">
        <v>2810</v>
      </c>
      <c r="H218" s="34">
        <v>1237.5</v>
      </c>
      <c r="I218" s="34">
        <v>1070</v>
      </c>
      <c r="J218" s="34">
        <v>750</v>
      </c>
      <c r="K218" s="36">
        <v>438.19200000000001</v>
      </c>
      <c r="L218" s="32" t="s">
        <v>361</v>
      </c>
      <c r="M218" s="32"/>
      <c r="N218" s="32" t="s">
        <v>359</v>
      </c>
      <c r="O218" s="33">
        <v>43901.709641203706</v>
      </c>
      <c r="P218" s="32" t="s">
        <v>358</v>
      </c>
      <c r="Q218" s="32" t="s">
        <v>357</v>
      </c>
      <c r="R218" s="32"/>
      <c r="S218" s="32">
        <f>Table_query__44[[#This Row],[Grant Received]]*0.95</f>
        <v>416.2824</v>
      </c>
      <c r="T218" s="32"/>
      <c r="U218" s="32">
        <f>Table_query__44[[#This Row],[Grant Received]]*0.9</f>
        <v>394.37280000000004</v>
      </c>
      <c r="V218" s="32"/>
      <c r="W218" s="32">
        <f>Table_query__44[[#This Row],[Grant Received]]*0.8</f>
        <v>350.55360000000002</v>
      </c>
      <c r="X218" s="32"/>
    </row>
    <row r="219" spans="1:24">
      <c r="A219" s="31" t="str">
        <f>LEFT(Table_query__44[[#This Row],[Title]],(FIND(" ",Table_query__44[[#This Row],[Title]],1)-1))</f>
        <v>KNE</v>
      </c>
      <c r="B219" s="32" t="s">
        <v>419</v>
      </c>
      <c r="C219" s="32" t="s">
        <v>421</v>
      </c>
      <c r="D219" s="34"/>
      <c r="E219" s="34"/>
      <c r="F219" s="32" t="s">
        <v>419</v>
      </c>
      <c r="G219" s="34"/>
      <c r="H219" s="34"/>
      <c r="I219" s="34"/>
      <c r="J219" s="34"/>
      <c r="K219" s="36"/>
      <c r="L219" s="32" t="s">
        <v>361</v>
      </c>
      <c r="M219" s="32"/>
      <c r="N219" s="32" t="s">
        <v>359</v>
      </c>
      <c r="O219" s="33">
        <v>43891.804965277777</v>
      </c>
      <c r="P219" s="32" t="s">
        <v>358</v>
      </c>
      <c r="Q219" s="32" t="s">
        <v>357</v>
      </c>
      <c r="R219" s="32"/>
      <c r="S219" s="32">
        <f>Table_query__44[[#This Row],[Grant Received]]*0.95</f>
        <v>0</v>
      </c>
      <c r="T219" s="32"/>
      <c r="U219" s="32">
        <f>Table_query__44[[#This Row],[Grant Received]]*0.9</f>
        <v>0</v>
      </c>
      <c r="V219" s="32"/>
      <c r="W219" s="32">
        <f>Table_query__44[[#This Row],[Grant Received]]*0.8</f>
        <v>0</v>
      </c>
      <c r="X219" s="32"/>
    </row>
    <row r="220" spans="1:24">
      <c r="A220" s="31" t="str">
        <f>LEFT(Table_query__44[[#This Row],[Title]],(FIND(" ",Table_query__44[[#This Row],[Title]],1)-1))</f>
        <v>KNE</v>
      </c>
      <c r="B220" s="32" t="s">
        <v>419</v>
      </c>
      <c r="C220" s="32" t="s">
        <v>143</v>
      </c>
      <c r="D220" s="34">
        <v>50</v>
      </c>
      <c r="E220" s="34">
        <v>5</v>
      </c>
      <c r="F220" s="32" t="s">
        <v>419</v>
      </c>
      <c r="G220" s="34">
        <v>377.2</v>
      </c>
      <c r="H220" s="34">
        <v>84</v>
      </c>
      <c r="I220" s="34">
        <v>60</v>
      </c>
      <c r="J220" s="34">
        <v>60</v>
      </c>
      <c r="K220" s="36">
        <v>60</v>
      </c>
      <c r="L220" s="32" t="s">
        <v>361</v>
      </c>
      <c r="M220" s="32"/>
      <c r="N220" s="32" t="s">
        <v>359</v>
      </c>
      <c r="O220" s="33">
        <v>43891.805844907409</v>
      </c>
      <c r="P220" s="32" t="s">
        <v>358</v>
      </c>
      <c r="Q220" s="32" t="s">
        <v>357</v>
      </c>
      <c r="R220" s="32"/>
      <c r="S220" s="32">
        <f>Table_query__44[[#This Row],[Grant Received]]*0.95</f>
        <v>57</v>
      </c>
      <c r="T220" s="32"/>
      <c r="U220" s="32">
        <f>Table_query__44[[#This Row],[Grant Received]]*0.9</f>
        <v>54</v>
      </c>
      <c r="V220" s="32"/>
      <c r="W220" s="32">
        <f>Table_query__44[[#This Row],[Grant Received]]*0.8</f>
        <v>48</v>
      </c>
      <c r="X220" s="32"/>
    </row>
    <row r="221" spans="1:24">
      <c r="A221" s="31" t="str">
        <f>LEFT(Table_query__44[[#This Row],[Title]],(FIND(" ",Table_query__44[[#This Row],[Title]],1)-1))</f>
        <v>KNE</v>
      </c>
      <c r="B221" s="32" t="s">
        <v>419</v>
      </c>
      <c r="C221" s="32" t="s">
        <v>142</v>
      </c>
      <c r="D221" s="34"/>
      <c r="E221" s="34"/>
      <c r="F221" s="32" t="s">
        <v>419</v>
      </c>
      <c r="G221" s="34"/>
      <c r="H221" s="34"/>
      <c r="I221" s="34"/>
      <c r="J221" s="34"/>
      <c r="K221" s="36"/>
      <c r="L221" s="32" t="s">
        <v>361</v>
      </c>
      <c r="M221" s="32"/>
      <c r="N221" s="32" t="s">
        <v>359</v>
      </c>
      <c r="O221" s="33">
        <v>43891.806076388886</v>
      </c>
      <c r="P221" s="32" t="s">
        <v>358</v>
      </c>
      <c r="Q221" s="32" t="s">
        <v>357</v>
      </c>
      <c r="R221" s="32"/>
      <c r="S221" s="32">
        <f>Table_query__44[[#This Row],[Grant Received]]*0.95</f>
        <v>0</v>
      </c>
      <c r="T221" s="32"/>
      <c r="U221" s="32">
        <f>Table_query__44[[#This Row],[Grant Received]]*0.9</f>
        <v>0</v>
      </c>
      <c r="V221" s="32"/>
      <c r="W221" s="32">
        <f>Table_query__44[[#This Row],[Grant Received]]*0.8</f>
        <v>0</v>
      </c>
      <c r="X221" s="32"/>
    </row>
    <row r="222" spans="1:24">
      <c r="A222" s="31" t="str">
        <f>LEFT(Table_query__44[[#This Row],[Title]],(FIND(" ",Table_query__44[[#This Row],[Title]],1)-1))</f>
        <v>KNE</v>
      </c>
      <c r="B222" s="32" t="s">
        <v>419</v>
      </c>
      <c r="C222" s="32" t="s">
        <v>141</v>
      </c>
      <c r="D222" s="34">
        <v>150</v>
      </c>
      <c r="E222" s="34">
        <v>2</v>
      </c>
      <c r="F222" s="32" t="s">
        <v>419</v>
      </c>
      <c r="G222" s="34">
        <v>10960</v>
      </c>
      <c r="H222" s="34">
        <v>10033.379999999999</v>
      </c>
      <c r="I222" s="34">
        <v>2700</v>
      </c>
      <c r="J222" s="34">
        <v>750</v>
      </c>
      <c r="K222" s="36">
        <v>0</v>
      </c>
      <c r="L222" s="32" t="s">
        <v>361</v>
      </c>
      <c r="M222" s="32"/>
      <c r="N222" s="32" t="s">
        <v>359</v>
      </c>
      <c r="O222" s="33">
        <v>43891.807222222225</v>
      </c>
      <c r="P222" s="32" t="s">
        <v>358</v>
      </c>
      <c r="Q222" s="32" t="s">
        <v>357</v>
      </c>
      <c r="R222" s="32"/>
      <c r="S222" s="32">
        <f>Table_query__44[[#This Row],[Grant Received]]*0.95</f>
        <v>0</v>
      </c>
      <c r="T222" s="32"/>
      <c r="U222" s="32">
        <f>Table_query__44[[#This Row],[Grant Received]]*0.9</f>
        <v>0</v>
      </c>
      <c r="V222" s="32"/>
      <c r="W222" s="32">
        <f>Table_query__44[[#This Row],[Grant Received]]*0.8</f>
        <v>0</v>
      </c>
      <c r="X222" s="32"/>
    </row>
    <row r="223" spans="1:24">
      <c r="A223" s="31" t="str">
        <f>LEFT(Table_query__44[[#This Row],[Title]],(FIND(" ",Table_query__44[[#This Row],[Title]],1)-1))</f>
        <v>KNE</v>
      </c>
      <c r="B223" s="32" t="s">
        <v>419</v>
      </c>
      <c r="C223" s="32" t="s">
        <v>140</v>
      </c>
      <c r="D223" s="34">
        <v>50</v>
      </c>
      <c r="E223" s="34">
        <v>0</v>
      </c>
      <c r="F223" s="32" t="s">
        <v>419</v>
      </c>
      <c r="G223" s="34">
        <v>687</v>
      </c>
      <c r="H223" s="34">
        <v>435</v>
      </c>
      <c r="I223" s="34">
        <v>200</v>
      </c>
      <c r="J223" s="34">
        <v>170</v>
      </c>
      <c r="K223" s="36">
        <v>97.5</v>
      </c>
      <c r="L223" s="32" t="s">
        <v>361</v>
      </c>
      <c r="M223" s="32"/>
      <c r="N223" s="32" t="s">
        <v>359</v>
      </c>
      <c r="O223" s="33">
        <v>43906.458344907405</v>
      </c>
      <c r="P223" s="32" t="s">
        <v>358</v>
      </c>
      <c r="Q223" s="32" t="s">
        <v>357</v>
      </c>
      <c r="R223" s="32"/>
      <c r="S223" s="32">
        <f>Table_query__44[[#This Row],[Grant Received]]*0.95</f>
        <v>92.625</v>
      </c>
      <c r="T223" s="32"/>
      <c r="U223" s="32">
        <f>Table_query__44[[#This Row],[Grant Received]]*0.9</f>
        <v>87.75</v>
      </c>
      <c r="V223" s="32"/>
      <c r="W223" s="32">
        <f>Table_query__44[[#This Row],[Grant Received]]*0.8</f>
        <v>78</v>
      </c>
      <c r="X223" s="32"/>
    </row>
    <row r="224" spans="1:24">
      <c r="A224" s="31" t="str">
        <f>LEFT(Table_query__44[[#This Row],[Title]],(FIND(" ",Table_query__44[[#This Row],[Title]],1)-1))</f>
        <v>KNE</v>
      </c>
      <c r="B224" s="32" t="s">
        <v>419</v>
      </c>
      <c r="C224" s="32" t="s">
        <v>139</v>
      </c>
      <c r="D224" s="34">
        <v>45</v>
      </c>
      <c r="E224" s="34">
        <v>10</v>
      </c>
      <c r="F224" s="32" t="s">
        <v>419</v>
      </c>
      <c r="G224" s="34">
        <v>1420</v>
      </c>
      <c r="H224" s="34">
        <v>620</v>
      </c>
      <c r="I224" s="34">
        <v>200</v>
      </c>
      <c r="J224" s="34">
        <v>200</v>
      </c>
      <c r="K224" s="36">
        <v>185.2</v>
      </c>
      <c r="L224" s="32" t="s">
        <v>361</v>
      </c>
      <c r="M224" s="32"/>
      <c r="N224" s="32" t="s">
        <v>359</v>
      </c>
      <c r="O224" s="33">
        <v>43901.711238425924</v>
      </c>
      <c r="P224" s="32" t="s">
        <v>358</v>
      </c>
      <c r="Q224" s="32" t="s">
        <v>357</v>
      </c>
      <c r="R224" s="32"/>
      <c r="S224" s="32">
        <f>Table_query__44[[#This Row],[Grant Received]]*0.95</f>
        <v>175.93999999999997</v>
      </c>
      <c r="T224" s="32"/>
      <c r="U224" s="32">
        <f>Table_query__44[[#This Row],[Grant Received]]*0.9</f>
        <v>166.68</v>
      </c>
      <c r="V224" s="32"/>
      <c r="W224" s="32">
        <f>Table_query__44[[#This Row],[Grant Received]]*0.8</f>
        <v>148.16</v>
      </c>
      <c r="X224" s="32"/>
    </row>
    <row r="225" spans="1:24">
      <c r="A225" s="31" t="str">
        <f>LEFT(Table_query__44[[#This Row],[Title]],(FIND(" ",Table_query__44[[#This Row],[Title]],1)-1))</f>
        <v>KNE</v>
      </c>
      <c r="B225" s="32" t="s">
        <v>419</v>
      </c>
      <c r="C225" s="32" t="s">
        <v>138</v>
      </c>
      <c r="D225" s="34"/>
      <c r="E225" s="34"/>
      <c r="F225" s="32" t="s">
        <v>419</v>
      </c>
      <c r="G225" s="34"/>
      <c r="H225" s="34"/>
      <c r="I225" s="34"/>
      <c r="J225" s="34"/>
      <c r="K225" s="36"/>
      <c r="L225" s="32" t="s">
        <v>361</v>
      </c>
      <c r="M225" s="32"/>
      <c r="N225" s="32" t="s">
        <v>359</v>
      </c>
      <c r="O225" s="33">
        <v>43891.812986111108</v>
      </c>
      <c r="P225" s="32" t="s">
        <v>358</v>
      </c>
      <c r="Q225" s="32" t="s">
        <v>357</v>
      </c>
      <c r="R225" s="32"/>
      <c r="S225" s="32">
        <f>Table_query__44[[#This Row],[Grant Received]]*0.95</f>
        <v>0</v>
      </c>
      <c r="T225" s="32"/>
      <c r="U225" s="32">
        <f>Table_query__44[[#This Row],[Grant Received]]*0.9</f>
        <v>0</v>
      </c>
      <c r="V225" s="32"/>
      <c r="W225" s="32">
        <f>Table_query__44[[#This Row],[Grant Received]]*0.8</f>
        <v>0</v>
      </c>
      <c r="X225" s="32"/>
    </row>
    <row r="226" spans="1:24">
      <c r="A226" s="31" t="str">
        <f>LEFT(Table_query__44[[#This Row],[Title]],(FIND(" ",Table_query__44[[#This Row],[Title]],1)-1))</f>
        <v>KNE</v>
      </c>
      <c r="B226" s="32" t="s">
        <v>419</v>
      </c>
      <c r="C226" s="32" t="s">
        <v>420</v>
      </c>
      <c r="D226" s="34"/>
      <c r="E226" s="34"/>
      <c r="F226" s="32" t="s">
        <v>419</v>
      </c>
      <c r="G226" s="34">
        <v>20</v>
      </c>
      <c r="H226" s="34">
        <v>0</v>
      </c>
      <c r="I226" s="34">
        <v>20</v>
      </c>
      <c r="J226" s="34">
        <v>0</v>
      </c>
      <c r="K226" s="36">
        <v>0</v>
      </c>
      <c r="L226" s="32" t="s">
        <v>361</v>
      </c>
      <c r="M226" s="32"/>
      <c r="N226" s="32" t="s">
        <v>359</v>
      </c>
      <c r="O226" s="33">
        <v>43891.813101851854</v>
      </c>
      <c r="P226" s="32" t="s">
        <v>358</v>
      </c>
      <c r="Q226" s="32" t="s">
        <v>357</v>
      </c>
      <c r="R226" s="32"/>
      <c r="S226" s="32">
        <f>Table_query__44[[#This Row],[Grant Received]]*0.95</f>
        <v>0</v>
      </c>
      <c r="T226" s="32"/>
      <c r="U226" s="32">
        <f>Table_query__44[[#This Row],[Grant Received]]*0.9</f>
        <v>0</v>
      </c>
      <c r="V226" s="32"/>
      <c r="W226" s="32">
        <f>Table_query__44[[#This Row],[Grant Received]]*0.8</f>
        <v>0</v>
      </c>
      <c r="X226" s="32"/>
    </row>
    <row r="227" spans="1:24">
      <c r="A227" s="31" t="str">
        <f>LEFT(Table_query__44[[#This Row],[Title]],(FIND(" ",Table_query__44[[#This Row],[Title]],1)-1))</f>
        <v>KNE</v>
      </c>
      <c r="B227" s="32" t="s">
        <v>419</v>
      </c>
      <c r="C227" s="32" t="s">
        <v>137</v>
      </c>
      <c r="D227" s="34"/>
      <c r="E227" s="34"/>
      <c r="F227" s="32" t="s">
        <v>419</v>
      </c>
      <c r="G227" s="34"/>
      <c r="H227" s="34"/>
      <c r="I227" s="34"/>
      <c r="J227" s="34"/>
      <c r="K227" s="36"/>
      <c r="L227" s="32" t="s">
        <v>361</v>
      </c>
      <c r="M227" s="32"/>
      <c r="N227" s="32" t="s">
        <v>359</v>
      </c>
      <c r="O227" s="33">
        <v>43891.81318287037</v>
      </c>
      <c r="P227" s="32" t="s">
        <v>358</v>
      </c>
      <c r="Q227" s="32" t="s">
        <v>357</v>
      </c>
      <c r="R227" s="32"/>
      <c r="S227" s="32">
        <f>Table_query__44[[#This Row],[Grant Received]]*0.95</f>
        <v>0</v>
      </c>
      <c r="T227" s="32"/>
      <c r="U227" s="32">
        <f>Table_query__44[[#This Row],[Grant Received]]*0.9</f>
        <v>0</v>
      </c>
      <c r="V227" s="32"/>
      <c r="W227" s="32">
        <f>Table_query__44[[#This Row],[Grant Received]]*0.8</f>
        <v>0</v>
      </c>
      <c r="X227" s="32"/>
    </row>
    <row r="228" spans="1:24">
      <c r="A228" s="31" t="str">
        <f>LEFT(Table_query__44[[#This Row],[Title]],(FIND(" ",Table_query__44[[#This Row],[Title]],1)-1))</f>
        <v>KNE</v>
      </c>
      <c r="B228" s="32" t="s">
        <v>419</v>
      </c>
      <c r="C228" s="32" t="s">
        <v>136</v>
      </c>
      <c r="D228" s="34">
        <v>30</v>
      </c>
      <c r="E228" s="34">
        <v>10</v>
      </c>
      <c r="F228" s="32" t="s">
        <v>419</v>
      </c>
      <c r="G228" s="34">
        <v>834</v>
      </c>
      <c r="H228" s="34">
        <v>200</v>
      </c>
      <c r="I228" s="34">
        <v>704</v>
      </c>
      <c r="J228" s="34">
        <v>380</v>
      </c>
      <c r="K228" s="36">
        <v>335</v>
      </c>
      <c r="L228" s="32" t="s">
        <v>361</v>
      </c>
      <c r="M228" s="32"/>
      <c r="N228" s="32" t="s">
        <v>359</v>
      </c>
      <c r="O228" s="33">
        <v>43906.458912037036</v>
      </c>
      <c r="P228" s="32" t="s">
        <v>358</v>
      </c>
      <c r="Q228" s="32" t="s">
        <v>357</v>
      </c>
      <c r="R228" s="32"/>
      <c r="S228" s="32">
        <f>Table_query__44[[#This Row],[Grant Received]]*0.95</f>
        <v>318.25</v>
      </c>
      <c r="T228" s="32"/>
      <c r="U228" s="32">
        <f>Table_query__44[[#This Row],[Grant Received]]*0.9</f>
        <v>301.5</v>
      </c>
      <c r="V228" s="32"/>
      <c r="W228" s="32">
        <f>Table_query__44[[#This Row],[Grant Received]]*0.8</f>
        <v>268</v>
      </c>
      <c r="X228" s="32"/>
    </row>
    <row r="229" spans="1:24">
      <c r="A229" s="31" t="str">
        <f>LEFT(Table_query__44[[#This Row],[Title]],(FIND(" ",Table_query__44[[#This Row],[Title]],1)-1))</f>
        <v>KNE</v>
      </c>
      <c r="B229" s="32" t="s">
        <v>419</v>
      </c>
      <c r="C229" s="32" t="s">
        <v>135</v>
      </c>
      <c r="D229" s="34"/>
      <c r="E229" s="34"/>
      <c r="F229" s="32" t="s">
        <v>419</v>
      </c>
      <c r="G229" s="34"/>
      <c r="H229" s="34"/>
      <c r="I229" s="34"/>
      <c r="J229" s="34"/>
      <c r="K229" s="36"/>
      <c r="L229" s="32" t="s">
        <v>361</v>
      </c>
      <c r="M229" s="32"/>
      <c r="N229" s="32" t="s">
        <v>359</v>
      </c>
      <c r="O229" s="33">
        <v>43891.814050925925</v>
      </c>
      <c r="P229" s="32" t="s">
        <v>358</v>
      </c>
      <c r="Q229" s="32" t="s">
        <v>357</v>
      </c>
      <c r="R229" s="32"/>
      <c r="S229" s="32">
        <f>Table_query__44[[#This Row],[Grant Received]]*0.95</f>
        <v>0</v>
      </c>
      <c r="T229" s="32"/>
      <c r="U229" s="32">
        <f>Table_query__44[[#This Row],[Grant Received]]*0.9</f>
        <v>0</v>
      </c>
      <c r="V229" s="32"/>
      <c r="W229" s="32">
        <f>Table_query__44[[#This Row],[Grant Received]]*0.8</f>
        <v>0</v>
      </c>
      <c r="X229" s="32"/>
    </row>
    <row r="230" spans="1:24">
      <c r="A230" s="31" t="str">
        <f>LEFT(Table_query__44[[#This Row],[Title]],(FIND(" ",Table_query__44[[#This Row],[Title]],1)-1))</f>
        <v>NAI</v>
      </c>
      <c r="B230" s="32" t="s">
        <v>369</v>
      </c>
      <c r="C230" s="32" t="s">
        <v>134</v>
      </c>
      <c r="D230" s="34"/>
      <c r="E230" s="34"/>
      <c r="F230" s="32" t="s">
        <v>369</v>
      </c>
      <c r="G230" s="34"/>
      <c r="H230" s="34"/>
      <c r="I230" s="34"/>
      <c r="J230" s="34"/>
      <c r="K230" s="36"/>
      <c r="L230" s="32" t="s">
        <v>368</v>
      </c>
      <c r="M230" s="32"/>
      <c r="N230" s="32" t="s">
        <v>359</v>
      </c>
      <c r="O230" s="33">
        <v>43853.741736111115</v>
      </c>
      <c r="P230" s="32" t="s">
        <v>358</v>
      </c>
      <c r="Q230" s="32" t="s">
        <v>357</v>
      </c>
      <c r="R230" s="32"/>
      <c r="S230" s="32">
        <f>Table_query__44[[#This Row],[Grant Received]]*0.95</f>
        <v>0</v>
      </c>
      <c r="T230" s="32"/>
      <c r="U230" s="32">
        <f>Table_query__44[[#This Row],[Grant Received]]*0.9</f>
        <v>0</v>
      </c>
      <c r="V230" s="32"/>
      <c r="W230" s="32">
        <f>Table_query__44[[#This Row],[Grant Received]]*0.8</f>
        <v>0</v>
      </c>
      <c r="X230" s="32"/>
    </row>
    <row r="231" spans="1:24">
      <c r="A231" s="31" t="str">
        <f>LEFT(Table_query__44[[#This Row],[Title]],(FIND(" ",Table_query__44[[#This Row],[Title]],1)-1))</f>
        <v>NAI</v>
      </c>
      <c r="B231" s="32" t="s">
        <v>369</v>
      </c>
      <c r="C231" s="32" t="s">
        <v>418</v>
      </c>
      <c r="D231" s="34"/>
      <c r="E231" s="34"/>
      <c r="F231" s="32" t="s">
        <v>369</v>
      </c>
      <c r="G231" s="34"/>
      <c r="H231" s="34"/>
      <c r="I231" s="34"/>
      <c r="J231" s="34"/>
      <c r="K231" s="36"/>
      <c r="L231" s="32" t="s">
        <v>368</v>
      </c>
      <c r="M231" s="32"/>
      <c r="N231" s="32" t="s">
        <v>359</v>
      </c>
      <c r="O231" s="33">
        <v>43853.741747685184</v>
      </c>
      <c r="P231" s="32" t="s">
        <v>358</v>
      </c>
      <c r="Q231" s="32" t="s">
        <v>357</v>
      </c>
      <c r="R231" s="32"/>
      <c r="S231" s="32">
        <f>Table_query__44[[#This Row],[Grant Received]]*0.95</f>
        <v>0</v>
      </c>
      <c r="T231" s="32"/>
      <c r="U231" s="32">
        <f>Table_query__44[[#This Row],[Grant Received]]*0.9</f>
        <v>0</v>
      </c>
      <c r="V231" s="32"/>
      <c r="W231" s="32">
        <f>Table_query__44[[#This Row],[Grant Received]]*0.8</f>
        <v>0</v>
      </c>
      <c r="X231" s="32"/>
    </row>
    <row r="232" spans="1:24">
      <c r="A232" s="31" t="str">
        <f>LEFT(Table_query__44[[#This Row],[Title]],(FIND(" ",Table_query__44[[#This Row],[Title]],1)-1))</f>
        <v>NAI</v>
      </c>
      <c r="B232" s="32" t="s">
        <v>369</v>
      </c>
      <c r="C232" s="32" t="s">
        <v>417</v>
      </c>
      <c r="D232" s="34"/>
      <c r="E232" s="34"/>
      <c r="F232" s="32" t="s">
        <v>369</v>
      </c>
      <c r="G232" s="34"/>
      <c r="H232" s="34"/>
      <c r="I232" s="34"/>
      <c r="J232" s="34"/>
      <c r="K232" s="36"/>
      <c r="L232" s="32" t="s">
        <v>368</v>
      </c>
      <c r="M232" s="32"/>
      <c r="N232" s="32" t="s">
        <v>359</v>
      </c>
      <c r="O232" s="33">
        <v>43853.741736111115</v>
      </c>
      <c r="P232" s="32" t="s">
        <v>358</v>
      </c>
      <c r="Q232" s="32" t="s">
        <v>357</v>
      </c>
      <c r="R232" s="32"/>
      <c r="S232" s="32">
        <f>Table_query__44[[#This Row],[Grant Received]]*0.95</f>
        <v>0</v>
      </c>
      <c r="T232" s="32"/>
      <c r="U232" s="32">
        <f>Table_query__44[[#This Row],[Grant Received]]*0.9</f>
        <v>0</v>
      </c>
      <c r="V232" s="32"/>
      <c r="W232" s="32">
        <f>Table_query__44[[#This Row],[Grant Received]]*0.8</f>
        <v>0</v>
      </c>
      <c r="X232" s="32"/>
    </row>
    <row r="233" spans="1:24">
      <c r="A233" s="31" t="str">
        <f>LEFT(Table_query__44[[#This Row],[Title]],(FIND(" ",Table_query__44[[#This Row],[Title]],1)-1))</f>
        <v>NAI</v>
      </c>
      <c r="B233" s="32" t="s">
        <v>369</v>
      </c>
      <c r="C233" s="32" t="s">
        <v>416</v>
      </c>
      <c r="D233" s="34">
        <v>200</v>
      </c>
      <c r="E233" s="34">
        <v>0</v>
      </c>
      <c r="F233" s="32" t="s">
        <v>369</v>
      </c>
      <c r="G233" s="34">
        <v>630</v>
      </c>
      <c r="H233" s="34">
        <v>0</v>
      </c>
      <c r="I233" s="34">
        <v>630</v>
      </c>
      <c r="J233" s="34"/>
      <c r="K233" s="36"/>
      <c r="L233" s="32" t="s">
        <v>368</v>
      </c>
      <c r="M233" s="32"/>
      <c r="N233" s="32" t="s">
        <v>359</v>
      </c>
      <c r="O233" s="33">
        <v>43853.741736111115</v>
      </c>
      <c r="P233" s="32" t="s">
        <v>358</v>
      </c>
      <c r="Q233" s="32" t="s">
        <v>357</v>
      </c>
      <c r="R233" s="32"/>
      <c r="S233" s="32">
        <f>Table_query__44[[#This Row],[Grant Received]]*0.95</f>
        <v>0</v>
      </c>
      <c r="T233" s="32"/>
      <c r="U233" s="32">
        <f>Table_query__44[[#This Row],[Grant Received]]*0.9</f>
        <v>0</v>
      </c>
      <c r="V233" s="32"/>
      <c r="W233" s="32">
        <f>Table_query__44[[#This Row],[Grant Received]]*0.8</f>
        <v>0</v>
      </c>
      <c r="X233" s="32"/>
    </row>
    <row r="234" spans="1:24">
      <c r="A234" s="31" t="str">
        <f>LEFT(Table_query__44[[#This Row],[Title]],(FIND(" ",Table_query__44[[#This Row],[Title]],1)-1))</f>
        <v>NAI</v>
      </c>
      <c r="B234" s="32" t="s">
        <v>369</v>
      </c>
      <c r="C234" s="32" t="s">
        <v>415</v>
      </c>
      <c r="D234" s="34"/>
      <c r="E234" s="34"/>
      <c r="F234" s="32" t="s">
        <v>369</v>
      </c>
      <c r="G234" s="34"/>
      <c r="H234" s="34"/>
      <c r="I234" s="34"/>
      <c r="J234" s="34"/>
      <c r="K234" s="36"/>
      <c r="L234" s="32" t="s">
        <v>368</v>
      </c>
      <c r="M234" s="32"/>
      <c r="N234" s="32" t="s">
        <v>359</v>
      </c>
      <c r="O234" s="33">
        <v>43853.741747685184</v>
      </c>
      <c r="P234" s="32" t="s">
        <v>358</v>
      </c>
      <c r="Q234" s="32" t="s">
        <v>357</v>
      </c>
      <c r="R234" s="32"/>
      <c r="S234" s="32">
        <f>Table_query__44[[#This Row],[Grant Received]]*0.95</f>
        <v>0</v>
      </c>
      <c r="T234" s="32"/>
      <c r="U234" s="32">
        <f>Table_query__44[[#This Row],[Grant Received]]*0.9</f>
        <v>0</v>
      </c>
      <c r="V234" s="32"/>
      <c r="W234" s="32">
        <f>Table_query__44[[#This Row],[Grant Received]]*0.8</f>
        <v>0</v>
      </c>
      <c r="X234" s="32"/>
    </row>
    <row r="235" spans="1:24">
      <c r="A235" s="31" t="str">
        <f>LEFT(Table_query__44[[#This Row],[Title]],(FIND(" ",Table_query__44[[#This Row],[Title]],1)-1))</f>
        <v>NAI</v>
      </c>
      <c r="B235" s="32" t="s">
        <v>369</v>
      </c>
      <c r="C235" s="32" t="s">
        <v>414</v>
      </c>
      <c r="D235" s="34">
        <v>35</v>
      </c>
      <c r="E235" s="34">
        <v>0</v>
      </c>
      <c r="F235" s="32" t="s">
        <v>369</v>
      </c>
      <c r="G235" s="34">
        <v>220</v>
      </c>
      <c r="H235" s="34">
        <v>300</v>
      </c>
      <c r="I235" s="34">
        <v>1124</v>
      </c>
      <c r="J235" s="34"/>
      <c r="K235" s="36"/>
      <c r="L235" s="32" t="s">
        <v>368</v>
      </c>
      <c r="M235" s="32"/>
      <c r="N235" s="32" t="s">
        <v>359</v>
      </c>
      <c r="O235" s="33">
        <v>43853.741747685184</v>
      </c>
      <c r="P235" s="32" t="s">
        <v>358</v>
      </c>
      <c r="Q235" s="32" t="s">
        <v>357</v>
      </c>
      <c r="R235" s="32"/>
      <c r="S235" s="32">
        <f>Table_query__44[[#This Row],[Grant Received]]*0.95</f>
        <v>0</v>
      </c>
      <c r="T235" s="32"/>
      <c r="U235" s="32">
        <f>Table_query__44[[#This Row],[Grant Received]]*0.9</f>
        <v>0</v>
      </c>
      <c r="V235" s="32"/>
      <c r="W235" s="32">
        <f>Table_query__44[[#This Row],[Grant Received]]*0.8</f>
        <v>0</v>
      </c>
      <c r="X235" s="32"/>
    </row>
    <row r="236" spans="1:24">
      <c r="A236" s="31" t="str">
        <f>LEFT(Table_query__44[[#This Row],[Title]],(FIND(" ",Table_query__44[[#This Row],[Title]],1)-1))</f>
        <v>NAI</v>
      </c>
      <c r="B236" s="32" t="s">
        <v>369</v>
      </c>
      <c r="C236" s="32" t="s">
        <v>413</v>
      </c>
      <c r="D236" s="34">
        <v>195</v>
      </c>
      <c r="E236" s="34">
        <v>0</v>
      </c>
      <c r="F236" s="32" t="s">
        <v>369</v>
      </c>
      <c r="G236" s="34">
        <v>485.8</v>
      </c>
      <c r="H236" s="34">
        <v>511.54</v>
      </c>
      <c r="I236" s="34">
        <v>0</v>
      </c>
      <c r="J236" s="34"/>
      <c r="K236" s="36"/>
      <c r="L236" s="32" t="s">
        <v>368</v>
      </c>
      <c r="M236" s="32"/>
      <c r="N236" s="32" t="s">
        <v>359</v>
      </c>
      <c r="O236" s="33">
        <v>43853.741747685184</v>
      </c>
      <c r="P236" s="32" t="s">
        <v>358</v>
      </c>
      <c r="Q236" s="32" t="s">
        <v>357</v>
      </c>
      <c r="R236" s="32"/>
      <c r="S236" s="32">
        <f>Table_query__44[[#This Row],[Grant Received]]*0.95</f>
        <v>0</v>
      </c>
      <c r="T236" s="32"/>
      <c r="U236" s="32">
        <f>Table_query__44[[#This Row],[Grant Received]]*0.9</f>
        <v>0</v>
      </c>
      <c r="V236" s="32"/>
      <c r="W236" s="32">
        <f>Table_query__44[[#This Row],[Grant Received]]*0.8</f>
        <v>0</v>
      </c>
      <c r="X236" s="32"/>
    </row>
    <row r="237" spans="1:24">
      <c r="A237" s="31" t="str">
        <f>LEFT(Table_query__44[[#This Row],[Title]],(FIND(" ",Table_query__44[[#This Row],[Title]],1)-1))</f>
        <v>NAI</v>
      </c>
      <c r="B237" s="32" t="s">
        <v>369</v>
      </c>
      <c r="C237" s="32" t="s">
        <v>412</v>
      </c>
      <c r="D237" s="34">
        <v>50</v>
      </c>
      <c r="E237" s="34">
        <v>0</v>
      </c>
      <c r="F237" s="32" t="s">
        <v>369</v>
      </c>
      <c r="G237" s="34">
        <v>886</v>
      </c>
      <c r="H237" s="34">
        <v>0</v>
      </c>
      <c r="I237" s="34">
        <v>886</v>
      </c>
      <c r="J237" s="34"/>
      <c r="K237" s="36"/>
      <c r="L237" s="32" t="s">
        <v>368</v>
      </c>
      <c r="M237" s="32"/>
      <c r="N237" s="32" t="s">
        <v>359</v>
      </c>
      <c r="O237" s="33">
        <v>43853.741747685184</v>
      </c>
      <c r="P237" s="32" t="s">
        <v>358</v>
      </c>
      <c r="Q237" s="32" t="s">
        <v>357</v>
      </c>
      <c r="R237" s="32"/>
      <c r="S237" s="32">
        <f>Table_query__44[[#This Row],[Grant Received]]*0.95</f>
        <v>0</v>
      </c>
      <c r="T237" s="32"/>
      <c r="U237" s="32">
        <f>Table_query__44[[#This Row],[Grant Received]]*0.9</f>
        <v>0</v>
      </c>
      <c r="V237" s="32"/>
      <c r="W237" s="32">
        <f>Table_query__44[[#This Row],[Grant Received]]*0.8</f>
        <v>0</v>
      </c>
      <c r="X237" s="32"/>
    </row>
    <row r="238" spans="1:24">
      <c r="A238" s="31" t="str">
        <f>LEFT(Table_query__44[[#This Row],[Title]],(FIND(" ",Table_query__44[[#This Row],[Title]],1)-1))</f>
        <v>NAI</v>
      </c>
      <c r="B238" s="32" t="s">
        <v>369</v>
      </c>
      <c r="C238" s="32" t="s">
        <v>411</v>
      </c>
      <c r="D238" s="34"/>
      <c r="E238" s="34"/>
      <c r="F238" s="32" t="s">
        <v>369</v>
      </c>
      <c r="G238" s="34"/>
      <c r="H238" s="34"/>
      <c r="I238" s="34"/>
      <c r="J238" s="34"/>
      <c r="K238" s="36"/>
      <c r="L238" s="32" t="s">
        <v>368</v>
      </c>
      <c r="M238" s="32"/>
      <c r="N238" s="32" t="s">
        <v>359</v>
      </c>
      <c r="O238" s="33">
        <v>43853.741747685184</v>
      </c>
      <c r="P238" s="32" t="s">
        <v>358</v>
      </c>
      <c r="Q238" s="32" t="s">
        <v>357</v>
      </c>
      <c r="R238" s="32"/>
      <c r="S238" s="32">
        <f>Table_query__44[[#This Row],[Grant Received]]*0.95</f>
        <v>0</v>
      </c>
      <c r="T238" s="32"/>
      <c r="U238" s="32">
        <f>Table_query__44[[#This Row],[Grant Received]]*0.9</f>
        <v>0</v>
      </c>
      <c r="V238" s="32"/>
      <c r="W238" s="32">
        <f>Table_query__44[[#This Row],[Grant Received]]*0.8</f>
        <v>0</v>
      </c>
      <c r="X238" s="32"/>
    </row>
    <row r="239" spans="1:24">
      <c r="A239" s="31" t="str">
        <f>LEFT(Table_query__44[[#This Row],[Title]],(FIND(" ",Table_query__44[[#This Row],[Title]],1)-1))</f>
        <v>NAI</v>
      </c>
      <c r="B239" s="32" t="s">
        <v>369</v>
      </c>
      <c r="C239" s="32" t="s">
        <v>410</v>
      </c>
      <c r="D239" s="34"/>
      <c r="E239" s="34"/>
      <c r="F239" s="32" t="s">
        <v>369</v>
      </c>
      <c r="G239" s="34"/>
      <c r="H239" s="34"/>
      <c r="I239" s="34"/>
      <c r="J239" s="34"/>
      <c r="K239" s="36"/>
      <c r="L239" s="32" t="s">
        <v>368</v>
      </c>
      <c r="M239" s="32"/>
      <c r="N239" s="32" t="s">
        <v>359</v>
      </c>
      <c r="O239" s="33">
        <v>43853.741759259261</v>
      </c>
      <c r="P239" s="32" t="s">
        <v>358</v>
      </c>
      <c r="Q239" s="32" t="s">
        <v>357</v>
      </c>
      <c r="R239" s="32"/>
      <c r="S239" s="32">
        <f>Table_query__44[[#This Row],[Grant Received]]*0.95</f>
        <v>0</v>
      </c>
      <c r="T239" s="32"/>
      <c r="U239" s="32">
        <f>Table_query__44[[#This Row],[Grant Received]]*0.9</f>
        <v>0</v>
      </c>
      <c r="V239" s="32"/>
      <c r="W239" s="32">
        <f>Table_query__44[[#This Row],[Grant Received]]*0.8</f>
        <v>0</v>
      </c>
      <c r="X239" s="32"/>
    </row>
    <row r="240" spans="1:24">
      <c r="A240" s="31" t="str">
        <f>LEFT(Table_query__44[[#This Row],[Title]],(FIND(" ",Table_query__44[[#This Row],[Title]],1)-1))</f>
        <v>NAI</v>
      </c>
      <c r="B240" s="32" t="s">
        <v>369</v>
      </c>
      <c r="C240" s="32" t="s">
        <v>409</v>
      </c>
      <c r="D240" s="34"/>
      <c r="E240" s="34"/>
      <c r="F240" s="32" t="s">
        <v>369</v>
      </c>
      <c r="G240" s="34"/>
      <c r="H240" s="34"/>
      <c r="I240" s="34"/>
      <c r="J240" s="34"/>
      <c r="K240" s="36"/>
      <c r="L240" s="32" t="s">
        <v>368</v>
      </c>
      <c r="M240" s="32"/>
      <c r="N240" s="32" t="s">
        <v>359</v>
      </c>
      <c r="O240" s="33">
        <v>43853.741759259261</v>
      </c>
      <c r="P240" s="32" t="s">
        <v>358</v>
      </c>
      <c r="Q240" s="32" t="s">
        <v>357</v>
      </c>
      <c r="R240" s="32"/>
      <c r="S240" s="32">
        <f>Table_query__44[[#This Row],[Grant Received]]*0.95</f>
        <v>0</v>
      </c>
      <c r="T240" s="32"/>
      <c r="U240" s="32">
        <f>Table_query__44[[#This Row],[Grant Received]]*0.9</f>
        <v>0</v>
      </c>
      <c r="V240" s="32"/>
      <c r="W240" s="32">
        <f>Table_query__44[[#This Row],[Grant Received]]*0.8</f>
        <v>0</v>
      </c>
      <c r="X240" s="32"/>
    </row>
    <row r="241" spans="1:24">
      <c r="A241" s="31" t="str">
        <f>LEFT(Table_query__44[[#This Row],[Title]],(FIND(" ",Table_query__44[[#This Row],[Title]],1)-1))</f>
        <v>NAI</v>
      </c>
      <c r="B241" s="32" t="s">
        <v>369</v>
      </c>
      <c r="C241" s="32" t="s">
        <v>408</v>
      </c>
      <c r="D241" s="34"/>
      <c r="E241" s="34"/>
      <c r="F241" s="32" t="s">
        <v>369</v>
      </c>
      <c r="G241" s="34"/>
      <c r="H241" s="34"/>
      <c r="I241" s="34"/>
      <c r="J241" s="34"/>
      <c r="K241" s="36"/>
      <c r="L241" s="32" t="s">
        <v>368</v>
      </c>
      <c r="M241" s="32"/>
      <c r="N241" s="32" t="s">
        <v>359</v>
      </c>
      <c r="O241" s="33">
        <v>43853.741759259261</v>
      </c>
      <c r="P241" s="32" t="s">
        <v>358</v>
      </c>
      <c r="Q241" s="32" t="s">
        <v>357</v>
      </c>
      <c r="R241" s="32"/>
      <c r="S241" s="32">
        <f>Table_query__44[[#This Row],[Grant Received]]*0.95</f>
        <v>0</v>
      </c>
      <c r="T241" s="32"/>
      <c r="U241" s="32">
        <f>Table_query__44[[#This Row],[Grant Received]]*0.9</f>
        <v>0</v>
      </c>
      <c r="V241" s="32"/>
      <c r="W241" s="32">
        <f>Table_query__44[[#This Row],[Grant Received]]*0.8</f>
        <v>0</v>
      </c>
      <c r="X241" s="32"/>
    </row>
    <row r="242" spans="1:24">
      <c r="A242" s="31" t="str">
        <f>LEFT(Table_query__44[[#This Row],[Title]],(FIND(" ",Table_query__44[[#This Row],[Title]],1)-1))</f>
        <v>NAI</v>
      </c>
      <c r="B242" s="32" t="s">
        <v>369</v>
      </c>
      <c r="C242" s="32" t="s">
        <v>407</v>
      </c>
      <c r="D242" s="34"/>
      <c r="E242" s="34"/>
      <c r="F242" s="32" t="s">
        <v>369</v>
      </c>
      <c r="G242" s="34"/>
      <c r="H242" s="34"/>
      <c r="I242" s="34"/>
      <c r="J242" s="34"/>
      <c r="K242" s="36"/>
      <c r="L242" s="32" t="s">
        <v>368</v>
      </c>
      <c r="M242" s="32"/>
      <c r="N242" s="32" t="s">
        <v>359</v>
      </c>
      <c r="O242" s="33">
        <v>43853.741759259261</v>
      </c>
      <c r="P242" s="32" t="s">
        <v>358</v>
      </c>
      <c r="Q242" s="32" t="s">
        <v>357</v>
      </c>
      <c r="R242" s="32"/>
      <c r="S242" s="32">
        <f>Table_query__44[[#This Row],[Grant Received]]*0.95</f>
        <v>0</v>
      </c>
      <c r="T242" s="32"/>
      <c r="U242" s="32">
        <f>Table_query__44[[#This Row],[Grant Received]]*0.9</f>
        <v>0</v>
      </c>
      <c r="V242" s="32"/>
      <c r="W242" s="32">
        <f>Table_query__44[[#This Row],[Grant Received]]*0.8</f>
        <v>0</v>
      </c>
      <c r="X242" s="32"/>
    </row>
    <row r="243" spans="1:24">
      <c r="A243" s="31" t="str">
        <f>LEFT(Table_query__44[[#This Row],[Title]],(FIND(" ",Table_query__44[[#This Row],[Title]],1)-1))</f>
        <v>NAI</v>
      </c>
      <c r="B243" s="32" t="s">
        <v>369</v>
      </c>
      <c r="C243" s="32" t="s">
        <v>503</v>
      </c>
      <c r="D243" s="34">
        <v>12</v>
      </c>
      <c r="E243" s="34">
        <v>100</v>
      </c>
      <c r="F243" s="32" t="s">
        <v>369</v>
      </c>
      <c r="G243" s="34">
        <v>8200</v>
      </c>
      <c r="H243" s="34">
        <v>5560</v>
      </c>
      <c r="I243" s="34">
        <v>2640</v>
      </c>
      <c r="J243" s="34">
        <v>0</v>
      </c>
      <c r="K243" s="36">
        <v>0</v>
      </c>
      <c r="L243" s="32" t="s">
        <v>361</v>
      </c>
      <c r="M243" s="32"/>
      <c r="N243" s="32" t="s">
        <v>359</v>
      </c>
      <c r="O243" s="33">
        <v>43896.853090277778</v>
      </c>
      <c r="P243" s="32" t="s">
        <v>358</v>
      </c>
      <c r="Q243" s="32" t="s">
        <v>357</v>
      </c>
      <c r="R243" s="32"/>
      <c r="S243" s="32">
        <f>Table_query__44[[#This Row],[Grant Received]]*0.95</f>
        <v>0</v>
      </c>
      <c r="T243" s="32"/>
      <c r="U243" s="32">
        <f>Table_query__44[[#This Row],[Grant Received]]*0.9</f>
        <v>0</v>
      </c>
      <c r="V243" s="32"/>
      <c r="W243" s="32">
        <f>Table_query__44[[#This Row],[Grant Received]]*0.8</f>
        <v>0</v>
      </c>
      <c r="X243" s="32"/>
    </row>
    <row r="244" spans="1:24">
      <c r="A244" s="31" t="str">
        <f>LEFT(Table_query__44[[#This Row],[Title]],(FIND(" ",Table_query__44[[#This Row],[Title]],1)-1))</f>
        <v>NAI</v>
      </c>
      <c r="B244" s="32" t="s">
        <v>369</v>
      </c>
      <c r="C244" s="32" t="s">
        <v>406</v>
      </c>
      <c r="D244" s="34"/>
      <c r="E244" s="34"/>
      <c r="F244" s="32" t="s">
        <v>369</v>
      </c>
      <c r="G244" s="34"/>
      <c r="H244" s="34"/>
      <c r="I244" s="34"/>
      <c r="J244" s="34"/>
      <c r="K244" s="36"/>
      <c r="L244" s="32" t="s">
        <v>368</v>
      </c>
      <c r="M244" s="32"/>
      <c r="N244" s="32" t="s">
        <v>359</v>
      </c>
      <c r="O244" s="33">
        <v>43853.741759259261</v>
      </c>
      <c r="P244" s="32" t="s">
        <v>358</v>
      </c>
      <c r="Q244" s="32" t="s">
        <v>357</v>
      </c>
      <c r="R244" s="32"/>
      <c r="S244" s="32">
        <f>Table_query__44[[#This Row],[Grant Received]]*0.95</f>
        <v>0</v>
      </c>
      <c r="T244" s="32"/>
      <c r="U244" s="32">
        <f>Table_query__44[[#This Row],[Grant Received]]*0.9</f>
        <v>0</v>
      </c>
      <c r="V244" s="32"/>
      <c r="W244" s="32">
        <f>Table_query__44[[#This Row],[Grant Received]]*0.8</f>
        <v>0</v>
      </c>
      <c r="X244" s="32"/>
    </row>
    <row r="245" spans="1:24">
      <c r="A245" s="31" t="str">
        <f>LEFT(Table_query__44[[#This Row],[Title]],(FIND(" ",Table_query__44[[#This Row],[Title]],1)-1))</f>
        <v>NAI</v>
      </c>
      <c r="B245" s="32" t="s">
        <v>369</v>
      </c>
      <c r="C245" s="32" t="s">
        <v>405</v>
      </c>
      <c r="D245" s="34"/>
      <c r="E245" s="34"/>
      <c r="F245" s="32" t="s">
        <v>369</v>
      </c>
      <c r="G245" s="34"/>
      <c r="H245" s="34"/>
      <c r="I245" s="34"/>
      <c r="J245" s="34"/>
      <c r="K245" s="36"/>
      <c r="L245" s="32" t="s">
        <v>368</v>
      </c>
      <c r="M245" s="32"/>
      <c r="N245" s="32" t="s">
        <v>359</v>
      </c>
      <c r="O245" s="33">
        <v>43853.741759259261</v>
      </c>
      <c r="P245" s="32" t="s">
        <v>358</v>
      </c>
      <c r="Q245" s="32" t="s">
        <v>357</v>
      </c>
      <c r="R245" s="32"/>
      <c r="S245" s="32">
        <f>Table_query__44[[#This Row],[Grant Received]]*0.95</f>
        <v>0</v>
      </c>
      <c r="T245" s="32"/>
      <c r="U245" s="32">
        <f>Table_query__44[[#This Row],[Grant Received]]*0.9</f>
        <v>0</v>
      </c>
      <c r="V245" s="32"/>
      <c r="W245" s="32">
        <f>Table_query__44[[#This Row],[Grant Received]]*0.8</f>
        <v>0</v>
      </c>
      <c r="X245" s="32"/>
    </row>
    <row r="246" spans="1:24">
      <c r="A246" s="31" t="str">
        <f>LEFT(Table_query__44[[#This Row],[Title]],(FIND(" ",Table_query__44[[#This Row],[Title]],1)-1))</f>
        <v>NAI</v>
      </c>
      <c r="B246" s="32" t="s">
        <v>369</v>
      </c>
      <c r="C246" s="32" t="s">
        <v>404</v>
      </c>
      <c r="D246" s="34"/>
      <c r="E246" s="34"/>
      <c r="F246" s="32" t="s">
        <v>369</v>
      </c>
      <c r="G246" s="34"/>
      <c r="H246" s="34"/>
      <c r="I246" s="34"/>
      <c r="J246" s="34"/>
      <c r="K246" s="36"/>
      <c r="L246" s="32" t="s">
        <v>368</v>
      </c>
      <c r="M246" s="32"/>
      <c r="N246" s="32" t="s">
        <v>359</v>
      </c>
      <c r="O246" s="33">
        <v>43853.741770833331</v>
      </c>
      <c r="P246" s="32" t="s">
        <v>358</v>
      </c>
      <c r="Q246" s="32" t="s">
        <v>357</v>
      </c>
      <c r="R246" s="32"/>
      <c r="S246" s="32">
        <f>Table_query__44[[#This Row],[Grant Received]]*0.95</f>
        <v>0</v>
      </c>
      <c r="T246" s="32"/>
      <c r="U246" s="32">
        <f>Table_query__44[[#This Row],[Grant Received]]*0.9</f>
        <v>0</v>
      </c>
      <c r="V246" s="32"/>
      <c r="W246" s="32">
        <f>Table_query__44[[#This Row],[Grant Received]]*0.8</f>
        <v>0</v>
      </c>
      <c r="X246" s="32"/>
    </row>
    <row r="247" spans="1:24">
      <c r="A247" s="31" t="str">
        <f>LEFT(Table_query__44[[#This Row],[Title]],(FIND(" ",Table_query__44[[#This Row],[Title]],1)-1))</f>
        <v>NAI</v>
      </c>
      <c r="B247" s="32" t="s">
        <v>369</v>
      </c>
      <c r="C247" s="32" t="s">
        <v>403</v>
      </c>
      <c r="D247" s="34"/>
      <c r="E247" s="34"/>
      <c r="F247" s="32" t="s">
        <v>369</v>
      </c>
      <c r="G247" s="34"/>
      <c r="H247" s="34"/>
      <c r="I247" s="34"/>
      <c r="J247" s="34"/>
      <c r="K247" s="36"/>
      <c r="L247" s="32" t="s">
        <v>368</v>
      </c>
      <c r="M247" s="32"/>
      <c r="N247" s="32" t="s">
        <v>359</v>
      </c>
      <c r="O247" s="33">
        <v>43853.741770833331</v>
      </c>
      <c r="P247" s="32" t="s">
        <v>358</v>
      </c>
      <c r="Q247" s="32" t="s">
        <v>357</v>
      </c>
      <c r="R247" s="32"/>
      <c r="S247" s="32">
        <f>Table_query__44[[#This Row],[Grant Received]]*0.95</f>
        <v>0</v>
      </c>
      <c r="T247" s="32"/>
      <c r="U247" s="32">
        <f>Table_query__44[[#This Row],[Grant Received]]*0.9</f>
        <v>0</v>
      </c>
      <c r="V247" s="32"/>
      <c r="W247" s="32">
        <f>Table_query__44[[#This Row],[Grant Received]]*0.8</f>
        <v>0</v>
      </c>
      <c r="X247" s="32"/>
    </row>
    <row r="248" spans="1:24">
      <c r="A248" s="31" t="str">
        <f>LEFT(Table_query__44[[#This Row],[Title]],(FIND(" ",Table_query__44[[#This Row],[Title]],1)-1))</f>
        <v>NAI</v>
      </c>
      <c r="B248" s="32" t="s">
        <v>369</v>
      </c>
      <c r="C248" s="32" t="s">
        <v>402</v>
      </c>
      <c r="D248" s="34"/>
      <c r="E248" s="34"/>
      <c r="F248" s="32" t="s">
        <v>369</v>
      </c>
      <c r="G248" s="34"/>
      <c r="H248" s="34"/>
      <c r="I248" s="34"/>
      <c r="J248" s="34"/>
      <c r="K248" s="36"/>
      <c r="L248" s="32" t="s">
        <v>368</v>
      </c>
      <c r="M248" s="32"/>
      <c r="N248" s="32" t="s">
        <v>359</v>
      </c>
      <c r="O248" s="33">
        <v>43853.741770833331</v>
      </c>
      <c r="P248" s="32" t="s">
        <v>358</v>
      </c>
      <c r="Q248" s="32" t="s">
        <v>357</v>
      </c>
      <c r="R248" s="32"/>
      <c r="S248" s="32">
        <f>Table_query__44[[#This Row],[Grant Received]]*0.95</f>
        <v>0</v>
      </c>
      <c r="T248" s="32"/>
      <c r="U248" s="32">
        <f>Table_query__44[[#This Row],[Grant Received]]*0.9</f>
        <v>0</v>
      </c>
      <c r="V248" s="32"/>
      <c r="W248" s="32">
        <f>Table_query__44[[#This Row],[Grant Received]]*0.8</f>
        <v>0</v>
      </c>
      <c r="X248" s="32"/>
    </row>
    <row r="249" spans="1:24">
      <c r="A249" s="31" t="str">
        <f>LEFT(Table_query__44[[#This Row],[Title]],(FIND(" ",Table_query__44[[#This Row],[Title]],1)-1))</f>
        <v>NAI</v>
      </c>
      <c r="B249" s="32" t="s">
        <v>369</v>
      </c>
      <c r="C249" s="32" t="s">
        <v>401</v>
      </c>
      <c r="D249" s="34"/>
      <c r="E249" s="34"/>
      <c r="F249" s="32" t="s">
        <v>369</v>
      </c>
      <c r="G249" s="34"/>
      <c r="H249" s="34"/>
      <c r="I249" s="34"/>
      <c r="J249" s="34"/>
      <c r="K249" s="36"/>
      <c r="L249" s="32" t="s">
        <v>368</v>
      </c>
      <c r="M249" s="32"/>
      <c r="N249" s="32" t="s">
        <v>359</v>
      </c>
      <c r="O249" s="33">
        <v>43853.741770833331</v>
      </c>
      <c r="P249" s="32" t="s">
        <v>358</v>
      </c>
      <c r="Q249" s="32" t="s">
        <v>357</v>
      </c>
      <c r="R249" s="32"/>
      <c r="S249" s="32">
        <f>Table_query__44[[#This Row],[Grant Received]]*0.95</f>
        <v>0</v>
      </c>
      <c r="T249" s="32"/>
      <c r="U249" s="32">
        <f>Table_query__44[[#This Row],[Grant Received]]*0.9</f>
        <v>0</v>
      </c>
      <c r="V249" s="32"/>
      <c r="W249" s="32">
        <f>Table_query__44[[#This Row],[Grant Received]]*0.8</f>
        <v>0</v>
      </c>
      <c r="X249" s="32"/>
    </row>
    <row r="250" spans="1:24">
      <c r="A250" s="31" t="str">
        <f>LEFT(Table_query__44[[#This Row],[Title]],(FIND(" ",Table_query__44[[#This Row],[Title]],1)-1))</f>
        <v>NAI</v>
      </c>
      <c r="B250" s="32" t="s">
        <v>369</v>
      </c>
      <c r="C250" s="32" t="s">
        <v>400</v>
      </c>
      <c r="D250" s="34">
        <v>100</v>
      </c>
      <c r="E250" s="34">
        <v>0</v>
      </c>
      <c r="F250" s="32" t="s">
        <v>369</v>
      </c>
      <c r="G250" s="34">
        <v>12425</v>
      </c>
      <c r="H250" s="34">
        <v>12475</v>
      </c>
      <c r="I250" s="34">
        <v>850</v>
      </c>
      <c r="J250" s="34"/>
      <c r="K250" s="36"/>
      <c r="L250" s="32" t="s">
        <v>368</v>
      </c>
      <c r="M250" s="32"/>
      <c r="N250" s="32" t="s">
        <v>359</v>
      </c>
      <c r="O250" s="33">
        <v>43853.741770833331</v>
      </c>
      <c r="P250" s="32" t="s">
        <v>358</v>
      </c>
      <c r="Q250" s="32" t="s">
        <v>357</v>
      </c>
      <c r="R250" s="32"/>
      <c r="S250" s="32">
        <f>Table_query__44[[#This Row],[Grant Received]]*0.95</f>
        <v>0</v>
      </c>
      <c r="T250" s="32"/>
      <c r="U250" s="32">
        <f>Table_query__44[[#This Row],[Grant Received]]*0.9</f>
        <v>0</v>
      </c>
      <c r="V250" s="32"/>
      <c r="W250" s="32">
        <f>Table_query__44[[#This Row],[Grant Received]]*0.8</f>
        <v>0</v>
      </c>
      <c r="X250" s="32"/>
    </row>
    <row r="251" spans="1:24">
      <c r="A251" s="31" t="str">
        <f>LEFT(Table_query__44[[#This Row],[Title]],(FIND(" ",Table_query__44[[#This Row],[Title]],1)-1))</f>
        <v>NAI</v>
      </c>
      <c r="B251" s="32" t="s">
        <v>369</v>
      </c>
      <c r="C251" s="32" t="s">
        <v>399</v>
      </c>
      <c r="D251" s="34"/>
      <c r="E251" s="34"/>
      <c r="F251" s="32" t="s">
        <v>369</v>
      </c>
      <c r="G251" s="34"/>
      <c r="H251" s="34"/>
      <c r="I251" s="34"/>
      <c r="J251" s="34"/>
      <c r="K251" s="36"/>
      <c r="L251" s="32" t="s">
        <v>368</v>
      </c>
      <c r="M251" s="32"/>
      <c r="N251" s="32" t="s">
        <v>359</v>
      </c>
      <c r="O251" s="33">
        <v>43853.741770833331</v>
      </c>
      <c r="P251" s="32" t="s">
        <v>358</v>
      </c>
      <c r="Q251" s="32" t="s">
        <v>357</v>
      </c>
      <c r="R251" s="32"/>
      <c r="S251" s="32">
        <f>Table_query__44[[#This Row],[Grant Received]]*0.95</f>
        <v>0</v>
      </c>
      <c r="T251" s="32"/>
      <c r="U251" s="32">
        <f>Table_query__44[[#This Row],[Grant Received]]*0.9</f>
        <v>0</v>
      </c>
      <c r="V251" s="32"/>
      <c r="W251" s="32">
        <f>Table_query__44[[#This Row],[Grant Received]]*0.8</f>
        <v>0</v>
      </c>
      <c r="X251" s="32"/>
    </row>
    <row r="252" spans="1:24">
      <c r="A252" s="31" t="str">
        <f>LEFT(Table_query__44[[#This Row],[Title]],(FIND(" ",Table_query__44[[#This Row],[Title]],1)-1))</f>
        <v>NAI</v>
      </c>
      <c r="B252" s="32" t="s">
        <v>369</v>
      </c>
      <c r="C252" s="32" t="s">
        <v>398</v>
      </c>
      <c r="D252" s="34"/>
      <c r="E252" s="34"/>
      <c r="F252" s="32" t="s">
        <v>369</v>
      </c>
      <c r="G252" s="34"/>
      <c r="H252" s="34"/>
      <c r="I252" s="34"/>
      <c r="J252" s="34"/>
      <c r="K252" s="36"/>
      <c r="L252" s="32" t="s">
        <v>368</v>
      </c>
      <c r="M252" s="32"/>
      <c r="N252" s="32" t="s">
        <v>359</v>
      </c>
      <c r="O252" s="33">
        <v>43853.741782407407</v>
      </c>
      <c r="P252" s="32" t="s">
        <v>358</v>
      </c>
      <c r="Q252" s="32" t="s">
        <v>357</v>
      </c>
      <c r="R252" s="32"/>
      <c r="S252" s="32">
        <f>Table_query__44[[#This Row],[Grant Received]]*0.95</f>
        <v>0</v>
      </c>
      <c r="T252" s="32"/>
      <c r="U252" s="32">
        <f>Table_query__44[[#This Row],[Grant Received]]*0.9</f>
        <v>0</v>
      </c>
      <c r="V252" s="32"/>
      <c r="W252" s="32">
        <f>Table_query__44[[#This Row],[Grant Received]]*0.8</f>
        <v>0</v>
      </c>
      <c r="X252" s="32"/>
    </row>
    <row r="253" spans="1:24">
      <c r="A253" s="31" t="str">
        <f>LEFT(Table_query__44[[#This Row],[Title]],(FIND(" ",Table_query__44[[#This Row],[Title]],1)-1))</f>
        <v>NAI</v>
      </c>
      <c r="B253" s="32" t="s">
        <v>369</v>
      </c>
      <c r="C253" s="32" t="s">
        <v>397</v>
      </c>
      <c r="D253" s="34"/>
      <c r="E253" s="34"/>
      <c r="F253" s="32" t="s">
        <v>369</v>
      </c>
      <c r="G253" s="34"/>
      <c r="H253" s="34"/>
      <c r="I253" s="34"/>
      <c r="J253" s="34"/>
      <c r="K253" s="36"/>
      <c r="L253" s="32" t="s">
        <v>368</v>
      </c>
      <c r="M253" s="32"/>
      <c r="N253" s="32" t="s">
        <v>359</v>
      </c>
      <c r="O253" s="33">
        <v>43853.741782407407</v>
      </c>
      <c r="P253" s="32" t="s">
        <v>358</v>
      </c>
      <c r="Q253" s="32" t="s">
        <v>357</v>
      </c>
      <c r="R253" s="32"/>
      <c r="S253" s="32">
        <f>Table_query__44[[#This Row],[Grant Received]]*0.95</f>
        <v>0</v>
      </c>
      <c r="T253" s="32"/>
      <c r="U253" s="32">
        <f>Table_query__44[[#This Row],[Grant Received]]*0.9</f>
        <v>0</v>
      </c>
      <c r="V253" s="32"/>
      <c r="W253" s="32">
        <f>Table_query__44[[#This Row],[Grant Received]]*0.8</f>
        <v>0</v>
      </c>
      <c r="X253" s="32"/>
    </row>
    <row r="254" spans="1:24">
      <c r="A254" s="31" t="str">
        <f>LEFT(Table_query__44[[#This Row],[Title]],(FIND(" ",Table_query__44[[#This Row],[Title]],1)-1))</f>
        <v>NAI</v>
      </c>
      <c r="B254" s="32" t="s">
        <v>369</v>
      </c>
      <c r="C254" s="32" t="s">
        <v>396</v>
      </c>
      <c r="D254" s="34"/>
      <c r="E254" s="34"/>
      <c r="F254" s="32" t="s">
        <v>369</v>
      </c>
      <c r="G254" s="34"/>
      <c r="H254" s="34"/>
      <c r="I254" s="34"/>
      <c r="J254" s="34"/>
      <c r="K254" s="36"/>
      <c r="L254" s="32" t="s">
        <v>368</v>
      </c>
      <c r="M254" s="32"/>
      <c r="N254" s="32" t="s">
        <v>359</v>
      </c>
      <c r="O254" s="33">
        <v>43853.741782407407</v>
      </c>
      <c r="P254" s="32" t="s">
        <v>358</v>
      </c>
      <c r="Q254" s="32" t="s">
        <v>357</v>
      </c>
      <c r="R254" s="32"/>
      <c r="S254" s="32">
        <f>Table_query__44[[#This Row],[Grant Received]]*0.95</f>
        <v>0</v>
      </c>
      <c r="T254" s="32"/>
      <c r="U254" s="32">
        <f>Table_query__44[[#This Row],[Grant Received]]*0.9</f>
        <v>0</v>
      </c>
      <c r="V254" s="32"/>
      <c r="W254" s="32">
        <f>Table_query__44[[#This Row],[Grant Received]]*0.8</f>
        <v>0</v>
      </c>
      <c r="X254" s="32"/>
    </row>
    <row r="255" spans="1:24">
      <c r="A255" s="31" t="str">
        <f>LEFT(Table_query__44[[#This Row],[Title]],(FIND(" ",Table_query__44[[#This Row],[Title]],1)-1))</f>
        <v>NAI</v>
      </c>
      <c r="B255" s="32" t="s">
        <v>369</v>
      </c>
      <c r="C255" s="32" t="s">
        <v>395</v>
      </c>
      <c r="D255" s="34"/>
      <c r="E255" s="34"/>
      <c r="F255" s="32" t="s">
        <v>369</v>
      </c>
      <c r="G255" s="34"/>
      <c r="H255" s="34"/>
      <c r="I255" s="34"/>
      <c r="J255" s="34"/>
      <c r="K255" s="36"/>
      <c r="L255" s="32" t="s">
        <v>368</v>
      </c>
      <c r="M255" s="32"/>
      <c r="N255" s="32" t="s">
        <v>359</v>
      </c>
      <c r="O255" s="33">
        <v>43853.741782407407</v>
      </c>
      <c r="P255" s="32" t="s">
        <v>358</v>
      </c>
      <c r="Q255" s="32" t="s">
        <v>357</v>
      </c>
      <c r="R255" s="32"/>
      <c r="S255" s="32">
        <f>Table_query__44[[#This Row],[Grant Received]]*0.95</f>
        <v>0</v>
      </c>
      <c r="T255" s="32"/>
      <c r="U255" s="32">
        <f>Table_query__44[[#This Row],[Grant Received]]*0.9</f>
        <v>0</v>
      </c>
      <c r="V255" s="32"/>
      <c r="W255" s="32">
        <f>Table_query__44[[#This Row],[Grant Received]]*0.8</f>
        <v>0</v>
      </c>
      <c r="X255" s="32"/>
    </row>
    <row r="256" spans="1:24">
      <c r="A256" s="31" t="str">
        <f>LEFT(Table_query__44[[#This Row],[Title]],(FIND(" ",Table_query__44[[#This Row],[Title]],1)-1))</f>
        <v>NAI</v>
      </c>
      <c r="B256" s="32" t="s">
        <v>369</v>
      </c>
      <c r="C256" s="32" t="s">
        <v>394</v>
      </c>
      <c r="D256" s="34"/>
      <c r="E256" s="34"/>
      <c r="F256" s="32" t="s">
        <v>369</v>
      </c>
      <c r="G256" s="34"/>
      <c r="H256" s="34"/>
      <c r="I256" s="34"/>
      <c r="J256" s="34"/>
      <c r="K256" s="36"/>
      <c r="L256" s="32" t="s">
        <v>368</v>
      </c>
      <c r="M256" s="32"/>
      <c r="N256" s="32" t="s">
        <v>359</v>
      </c>
      <c r="O256" s="33">
        <v>43853.741782407407</v>
      </c>
      <c r="P256" s="32" t="s">
        <v>358</v>
      </c>
      <c r="Q256" s="32" t="s">
        <v>357</v>
      </c>
      <c r="R256" s="32"/>
      <c r="S256" s="32">
        <f>Table_query__44[[#This Row],[Grant Received]]*0.95</f>
        <v>0</v>
      </c>
      <c r="T256" s="32"/>
      <c r="U256" s="32">
        <f>Table_query__44[[#This Row],[Grant Received]]*0.9</f>
        <v>0</v>
      </c>
      <c r="V256" s="32"/>
      <c r="W256" s="32">
        <f>Table_query__44[[#This Row],[Grant Received]]*0.8</f>
        <v>0</v>
      </c>
      <c r="X256" s="32"/>
    </row>
    <row r="257" spans="1:24">
      <c r="A257" s="31" t="str">
        <f>LEFT(Table_query__44[[#This Row],[Title]],(FIND(" ",Table_query__44[[#This Row],[Title]],1)-1))</f>
        <v>NAI</v>
      </c>
      <c r="B257" s="32" t="s">
        <v>369</v>
      </c>
      <c r="C257" s="32" t="s">
        <v>370</v>
      </c>
      <c r="D257" s="34">
        <v>50</v>
      </c>
      <c r="E257" s="34">
        <v>3</v>
      </c>
      <c r="F257" s="32" t="s">
        <v>369</v>
      </c>
      <c r="G257" s="34">
        <v>2410</v>
      </c>
      <c r="H257" s="34">
        <v>1650</v>
      </c>
      <c r="I257" s="34">
        <v>590</v>
      </c>
      <c r="J257" s="34"/>
      <c r="K257" s="36"/>
      <c r="L257" s="32" t="s">
        <v>368</v>
      </c>
      <c r="M257" s="32"/>
      <c r="N257" s="32" t="s">
        <v>359</v>
      </c>
      <c r="O257" s="33">
        <v>43853.741956018515</v>
      </c>
      <c r="P257" s="32" t="s">
        <v>358</v>
      </c>
      <c r="Q257" s="32" t="s">
        <v>357</v>
      </c>
      <c r="R257" s="32"/>
      <c r="S257" s="32">
        <f>Table_query__44[[#This Row],[Grant Received]]*0.95</f>
        <v>0</v>
      </c>
      <c r="T257" s="32"/>
      <c r="U257" s="32">
        <f>Table_query__44[[#This Row],[Grant Received]]*0.9</f>
        <v>0</v>
      </c>
      <c r="V257" s="32"/>
      <c r="W257" s="32">
        <f>Table_query__44[[#This Row],[Grant Received]]*0.8</f>
        <v>0</v>
      </c>
      <c r="X257" s="32"/>
    </row>
    <row r="258" spans="1:24">
      <c r="A258" s="31" t="str">
        <f>LEFT(Table_query__44[[#This Row],[Title]],(FIND(" ",Table_query__44[[#This Row],[Title]],1)-1))</f>
        <v>NAI</v>
      </c>
      <c r="B258" s="32" t="s">
        <v>369</v>
      </c>
      <c r="C258" s="32" t="s">
        <v>393</v>
      </c>
      <c r="D258" s="34"/>
      <c r="E258" s="34"/>
      <c r="F258" s="32" t="s">
        <v>369</v>
      </c>
      <c r="G258" s="34"/>
      <c r="H258" s="34"/>
      <c r="I258" s="34"/>
      <c r="J258" s="34"/>
      <c r="K258" s="36"/>
      <c r="L258" s="32" t="s">
        <v>368</v>
      </c>
      <c r="M258" s="32"/>
      <c r="N258" s="32" t="s">
        <v>359</v>
      </c>
      <c r="O258" s="33">
        <v>43853.741782407407</v>
      </c>
      <c r="P258" s="32" t="s">
        <v>358</v>
      </c>
      <c r="Q258" s="32" t="s">
        <v>357</v>
      </c>
      <c r="R258" s="32"/>
      <c r="S258" s="32">
        <f>Table_query__44[[#This Row],[Grant Received]]*0.95</f>
        <v>0</v>
      </c>
      <c r="T258" s="32"/>
      <c r="U258" s="32">
        <f>Table_query__44[[#This Row],[Grant Received]]*0.9</f>
        <v>0</v>
      </c>
      <c r="V258" s="32"/>
      <c r="W258" s="32">
        <f>Table_query__44[[#This Row],[Grant Received]]*0.8</f>
        <v>0</v>
      </c>
      <c r="X258" s="32"/>
    </row>
    <row r="259" spans="1:24">
      <c r="A259" s="31" t="str">
        <f>LEFT(Table_query__44[[#This Row],[Title]],(FIND(" ",Table_query__44[[#This Row],[Title]],1)-1))</f>
        <v>Rachel</v>
      </c>
      <c r="B259" s="32" t="s">
        <v>538</v>
      </c>
      <c r="C259" s="32" t="s">
        <v>515</v>
      </c>
      <c r="D259" s="34">
        <v>50</v>
      </c>
      <c r="E259" s="34">
        <v>10</v>
      </c>
      <c r="F259" s="32"/>
      <c r="G259" s="34">
        <v>1</v>
      </c>
      <c r="H259" s="34">
        <v>1</v>
      </c>
      <c r="I259" s="34">
        <v>1</v>
      </c>
      <c r="J259" s="34"/>
      <c r="K259" s="36"/>
      <c r="L259" s="32" t="s">
        <v>368</v>
      </c>
      <c r="M259" s="32"/>
      <c r="N259" s="32" t="s">
        <v>359</v>
      </c>
      <c r="O259" s="33">
        <v>43853.741203703707</v>
      </c>
      <c r="P259" s="32" t="s">
        <v>358</v>
      </c>
      <c r="Q259" s="32" t="s">
        <v>357</v>
      </c>
      <c r="R259" s="32"/>
      <c r="S259" s="32">
        <f>Table_query__44[[#This Row],[Grant Received]]*0.95</f>
        <v>0</v>
      </c>
      <c r="T259" s="32"/>
      <c r="U259" s="32">
        <f>Table_query__44[[#This Row],[Grant Received]]*0.9</f>
        <v>0</v>
      </c>
      <c r="V259" s="32"/>
      <c r="W259" s="32">
        <f>Table_query__44[[#This Row],[Grant Received]]*0.8</f>
        <v>0</v>
      </c>
      <c r="X259" s="32"/>
    </row>
    <row r="260" spans="1:24">
      <c r="A260" s="31" t="str">
        <f>LEFT(Table_query__44[[#This Row],[Title]],(FIND(" ",Table_query__44[[#This Row],[Title]],1)-1))</f>
        <v>RCC</v>
      </c>
      <c r="B260" s="32" t="s">
        <v>539</v>
      </c>
      <c r="C260" s="32" t="s">
        <v>392</v>
      </c>
      <c r="D260" s="34">
        <v>30</v>
      </c>
      <c r="E260" s="34">
        <v>2</v>
      </c>
      <c r="F260" s="32" t="s">
        <v>390</v>
      </c>
      <c r="G260" s="34">
        <v>567</v>
      </c>
      <c r="H260" s="34">
        <v>370</v>
      </c>
      <c r="I260" s="34">
        <v>307</v>
      </c>
      <c r="J260" s="34">
        <v>227</v>
      </c>
      <c r="K260" s="36">
        <v>113.5</v>
      </c>
      <c r="L260" s="32" t="s">
        <v>361</v>
      </c>
      <c r="M260" s="32"/>
      <c r="N260" s="32" t="s">
        <v>359</v>
      </c>
      <c r="O260" s="33">
        <v>43896.883530092593</v>
      </c>
      <c r="P260" s="32" t="s">
        <v>358</v>
      </c>
      <c r="Q260" s="32" t="s">
        <v>357</v>
      </c>
      <c r="R260" s="32"/>
      <c r="S260" s="32">
        <f>Table_query__44[[#This Row],[Grant Received]]*0.95</f>
        <v>107.82499999999999</v>
      </c>
      <c r="T260" s="32"/>
      <c r="U260" s="32">
        <f>Table_query__44[[#This Row],[Grant Received]]*0.9</f>
        <v>102.15</v>
      </c>
      <c r="V260" s="32"/>
      <c r="W260" s="32">
        <f>Table_query__44[[#This Row],[Grant Received]]*0.8</f>
        <v>90.800000000000011</v>
      </c>
      <c r="X260" s="32"/>
    </row>
    <row r="261" spans="1:24">
      <c r="A261" s="31" t="str">
        <f>LEFT(Table_query__44[[#This Row],[Title]],(FIND(" ",Table_query__44[[#This Row],[Title]],1)-1))</f>
        <v>RCSU</v>
      </c>
      <c r="B261" s="32" t="s">
        <v>372</v>
      </c>
      <c r="C261" s="32" t="s">
        <v>130</v>
      </c>
      <c r="D261" s="34">
        <v>600</v>
      </c>
      <c r="E261" s="34">
        <v>0</v>
      </c>
      <c r="F261" s="32" t="s">
        <v>372</v>
      </c>
      <c r="G261" s="34">
        <v>14570</v>
      </c>
      <c r="H261" s="34">
        <v>13521</v>
      </c>
      <c r="I261" s="34">
        <v>845</v>
      </c>
      <c r="J261" s="34">
        <v>690</v>
      </c>
      <c r="K261" s="36">
        <v>684.41099999999994</v>
      </c>
      <c r="L261" s="32" t="s">
        <v>361</v>
      </c>
      <c r="M261" s="32"/>
      <c r="N261" s="32" t="s">
        <v>359</v>
      </c>
      <c r="O261" s="33">
        <v>43901.712256944447</v>
      </c>
      <c r="P261" s="32" t="s">
        <v>358</v>
      </c>
      <c r="Q261" s="32" t="s">
        <v>357</v>
      </c>
      <c r="R261" s="32"/>
      <c r="S261" s="32">
        <f>Table_query__44[[#This Row],[Grant Received]]*0.95</f>
        <v>650.19044999999994</v>
      </c>
      <c r="T261" s="32"/>
      <c r="U261" s="32">
        <f>Table_query__44[[#This Row],[Grant Received]]*0.9</f>
        <v>615.96989999999994</v>
      </c>
      <c r="V261" s="32"/>
      <c r="W261" s="32">
        <f>Table_query__44[[#This Row],[Grant Received]]*0.8</f>
        <v>547.52879999999993</v>
      </c>
      <c r="X261" s="32"/>
    </row>
    <row r="262" spans="1:24">
      <c r="A262" s="31" t="str">
        <f>LEFT(Table_query__44[[#This Row],[Title]],(FIND(" ",Table_query__44[[#This Row],[Title]],1)-1))</f>
        <v>RCSU</v>
      </c>
      <c r="B262" s="32" t="s">
        <v>372</v>
      </c>
      <c r="C262" s="32" t="s">
        <v>129</v>
      </c>
      <c r="D262" s="34">
        <v>471</v>
      </c>
      <c r="E262" s="34">
        <v>0</v>
      </c>
      <c r="F262" s="32" t="s">
        <v>372</v>
      </c>
      <c r="G262" s="34">
        <v>7032.05</v>
      </c>
      <c r="H262" s="34">
        <v>5765</v>
      </c>
      <c r="I262" s="34">
        <v>823.2</v>
      </c>
      <c r="J262" s="34">
        <v>340</v>
      </c>
      <c r="K262" s="36">
        <v>340</v>
      </c>
      <c r="L262" s="32" t="s">
        <v>361</v>
      </c>
      <c r="M262" s="32"/>
      <c r="N262" s="32" t="s">
        <v>359</v>
      </c>
      <c r="O262" s="33">
        <v>43906.459502314814</v>
      </c>
      <c r="P262" s="32" t="s">
        <v>358</v>
      </c>
      <c r="Q262" s="32" t="s">
        <v>357</v>
      </c>
      <c r="R262" s="32"/>
      <c r="S262" s="32">
        <f>Table_query__44[[#This Row],[Grant Received]]*0.95</f>
        <v>323</v>
      </c>
      <c r="T262" s="32"/>
      <c r="U262" s="32">
        <f>Table_query__44[[#This Row],[Grant Received]]*0.9</f>
        <v>306</v>
      </c>
      <c r="V262" s="32"/>
      <c r="W262" s="32">
        <f>Table_query__44[[#This Row],[Grant Received]]*0.8</f>
        <v>272</v>
      </c>
      <c r="X262" s="32"/>
    </row>
    <row r="263" spans="1:24">
      <c r="A263" s="31" t="str">
        <f>LEFT(Table_query__44[[#This Row],[Title]],(FIND(" ",Table_query__44[[#This Row],[Title]],1)-1))</f>
        <v>RCSU</v>
      </c>
      <c r="B263" s="32" t="s">
        <v>372</v>
      </c>
      <c r="C263" s="32" t="s">
        <v>128</v>
      </c>
      <c r="D263" s="34">
        <v>948</v>
      </c>
      <c r="E263" s="34">
        <v>0</v>
      </c>
      <c r="F263" s="32" t="s">
        <v>372</v>
      </c>
      <c r="G263" s="34">
        <v>32849.760000000002</v>
      </c>
      <c r="H263" s="34">
        <v>33300.699999999997</v>
      </c>
      <c r="I263" s="34">
        <v>100</v>
      </c>
      <c r="J263" s="34">
        <v>0</v>
      </c>
      <c r="K263" s="36">
        <v>0</v>
      </c>
      <c r="L263" s="32" t="s">
        <v>361</v>
      </c>
      <c r="M263" s="32"/>
      <c r="N263" s="32" t="s">
        <v>359</v>
      </c>
      <c r="O263" s="33">
        <v>43891.824444444443</v>
      </c>
      <c r="P263" s="32" t="s">
        <v>358</v>
      </c>
      <c r="Q263" s="32" t="s">
        <v>357</v>
      </c>
      <c r="R263" s="32"/>
      <c r="S263" s="32">
        <f>Table_query__44[[#This Row],[Grant Received]]*0.95</f>
        <v>0</v>
      </c>
      <c r="T263" s="32"/>
      <c r="U263" s="32">
        <f>Table_query__44[[#This Row],[Grant Received]]*0.9</f>
        <v>0</v>
      </c>
      <c r="V263" s="32"/>
      <c r="W263" s="32">
        <f>Table_query__44[[#This Row],[Grant Received]]*0.8</f>
        <v>0</v>
      </c>
      <c r="X263" s="32"/>
    </row>
    <row r="264" spans="1:24">
      <c r="A264" s="31" t="str">
        <f>LEFT(Table_query__44[[#This Row],[Title]],(FIND(" ",Table_query__44[[#This Row],[Title]],1)-1))</f>
        <v>RCSU</v>
      </c>
      <c r="B264" s="32" t="s">
        <v>372</v>
      </c>
      <c r="C264" s="32" t="s">
        <v>127</v>
      </c>
      <c r="D264" s="34">
        <v>3137</v>
      </c>
      <c r="E264" s="34">
        <v>0</v>
      </c>
      <c r="F264" s="32" t="s">
        <v>372</v>
      </c>
      <c r="G264" s="34">
        <v>63822.02</v>
      </c>
      <c r="H264" s="34">
        <v>62298.73</v>
      </c>
      <c r="I264" s="34">
        <v>1470</v>
      </c>
      <c r="J264" s="34">
        <v>1320</v>
      </c>
      <c r="K264" s="36">
        <v>1320</v>
      </c>
      <c r="L264" s="32" t="s">
        <v>361</v>
      </c>
      <c r="M264" s="32" t="s">
        <v>360</v>
      </c>
      <c r="N264" s="32" t="s">
        <v>359</v>
      </c>
      <c r="O264" s="33">
        <v>43896.757291666669</v>
      </c>
      <c r="P264" s="32" t="s">
        <v>358</v>
      </c>
      <c r="Q264" s="32" t="s">
        <v>357</v>
      </c>
      <c r="R264" s="32"/>
      <c r="S264" s="32">
        <f>Table_query__44[[#This Row],[Grant Received]]*0.95</f>
        <v>1254</v>
      </c>
      <c r="T264" s="32"/>
      <c r="U264" s="32">
        <f>Table_query__44[[#This Row],[Grant Received]]*0.9</f>
        <v>1188</v>
      </c>
      <c r="V264" s="32"/>
      <c r="W264" s="32">
        <f>Table_query__44[[#This Row],[Grant Received]]*0.8</f>
        <v>1056</v>
      </c>
      <c r="X264" s="32"/>
    </row>
    <row r="265" spans="1:24">
      <c r="A265" s="31" t="str">
        <f>LEFT(Table_query__44[[#This Row],[Title]],(FIND(" ",Table_query__44[[#This Row],[Title]],1)-1))</f>
        <v>RCSU</v>
      </c>
      <c r="B265" s="32" t="s">
        <v>372</v>
      </c>
      <c r="C265" s="32" t="s">
        <v>126</v>
      </c>
      <c r="D265" s="34">
        <v>1300</v>
      </c>
      <c r="E265" s="34">
        <v>0</v>
      </c>
      <c r="F265" s="32" t="s">
        <v>372</v>
      </c>
      <c r="G265" s="34">
        <v>21930</v>
      </c>
      <c r="H265" s="34">
        <v>21824</v>
      </c>
      <c r="I265" s="34">
        <v>350</v>
      </c>
      <c r="J265" s="34">
        <v>350</v>
      </c>
      <c r="K265" s="36">
        <v>317.13499999999999</v>
      </c>
      <c r="L265" s="32" t="s">
        <v>361</v>
      </c>
      <c r="M265" s="32"/>
      <c r="N265" s="32" t="s">
        <v>359</v>
      </c>
      <c r="O265" s="33">
        <v>43901.712534722225</v>
      </c>
      <c r="P265" s="32" t="s">
        <v>358</v>
      </c>
      <c r="Q265" s="32" t="s">
        <v>357</v>
      </c>
      <c r="R265" s="32"/>
      <c r="S265" s="32">
        <f>Table_query__44[[#This Row],[Grant Received]]*0.95</f>
        <v>301.27824999999996</v>
      </c>
      <c r="T265" s="32"/>
      <c r="U265" s="32">
        <f>Table_query__44[[#This Row],[Grant Received]]*0.9</f>
        <v>285.42149999999998</v>
      </c>
      <c r="V265" s="32"/>
      <c r="W265" s="32">
        <f>Table_query__44[[#This Row],[Grant Received]]*0.8</f>
        <v>253.708</v>
      </c>
      <c r="X265" s="32"/>
    </row>
    <row r="266" spans="1:24">
      <c r="A266" s="31" t="str">
        <f>LEFT(Table_query__44[[#This Row],[Title]],(FIND(" ",Table_query__44[[#This Row],[Title]],1)-1))</f>
        <v>RCSU</v>
      </c>
      <c r="B266" s="32" t="s">
        <v>372</v>
      </c>
      <c r="C266" s="32" t="s">
        <v>125</v>
      </c>
      <c r="D266" s="34">
        <v>1394</v>
      </c>
      <c r="E266" s="34">
        <v>0</v>
      </c>
      <c r="F266" s="32" t="s">
        <v>372</v>
      </c>
      <c r="G266" s="34">
        <v>28738</v>
      </c>
      <c r="H266" s="34">
        <v>30725</v>
      </c>
      <c r="I266" s="34">
        <v>150</v>
      </c>
      <c r="J266" s="34">
        <v>120</v>
      </c>
      <c r="K266" s="36">
        <v>99.6</v>
      </c>
      <c r="L266" s="32" t="s">
        <v>361</v>
      </c>
      <c r="M266" s="32"/>
      <c r="N266" s="32" t="s">
        <v>359</v>
      </c>
      <c r="O266" s="33">
        <v>43891.829652777778</v>
      </c>
      <c r="P266" s="32" t="s">
        <v>358</v>
      </c>
      <c r="Q266" s="32" t="s">
        <v>357</v>
      </c>
      <c r="R266" s="32"/>
      <c r="S266" s="32">
        <f>Table_query__44[[#This Row],[Grant Received]]*0.95</f>
        <v>94.61999999999999</v>
      </c>
      <c r="T266" s="32"/>
      <c r="U266" s="32">
        <f>Table_query__44[[#This Row],[Grant Received]]*0.9</f>
        <v>89.64</v>
      </c>
      <c r="V266" s="32"/>
      <c r="W266" s="32">
        <f>Table_query__44[[#This Row],[Grant Received]]*0.8</f>
        <v>79.680000000000007</v>
      </c>
      <c r="X266" s="32"/>
    </row>
    <row r="267" spans="1:24">
      <c r="A267" s="31" t="str">
        <f>LEFT(Table_query__44[[#This Row],[Title]],(FIND(" ",Table_query__44[[#This Row],[Title]],1)-1))</f>
        <v>RCSU</v>
      </c>
      <c r="B267" s="32" t="s">
        <v>372</v>
      </c>
      <c r="C267" s="32" t="s">
        <v>124</v>
      </c>
      <c r="D267" s="34">
        <v>57</v>
      </c>
      <c r="E267" s="34">
        <v>5</v>
      </c>
      <c r="F267" s="32" t="s">
        <v>372</v>
      </c>
      <c r="G267" s="34">
        <v>4905</v>
      </c>
      <c r="H267" s="34">
        <v>1250</v>
      </c>
      <c r="I267" s="34">
        <v>1105</v>
      </c>
      <c r="J267" s="34">
        <v>1065</v>
      </c>
      <c r="K267" s="36">
        <v>792.04399999999998</v>
      </c>
      <c r="L267" s="32" t="s">
        <v>361</v>
      </c>
      <c r="M267" s="32"/>
      <c r="N267" s="32" t="s">
        <v>359</v>
      </c>
      <c r="O267" s="33">
        <v>43901.71266203704</v>
      </c>
      <c r="P267" s="32" t="s">
        <v>358</v>
      </c>
      <c r="Q267" s="32" t="s">
        <v>357</v>
      </c>
      <c r="R267" s="32"/>
      <c r="S267" s="32">
        <f>Table_query__44[[#This Row],[Grant Received]]*0.95</f>
        <v>752.44179999999994</v>
      </c>
      <c r="T267" s="32"/>
      <c r="U267" s="32">
        <f>Table_query__44[[#This Row],[Grant Received]]*0.9</f>
        <v>712.83960000000002</v>
      </c>
      <c r="V267" s="32"/>
      <c r="W267" s="32">
        <f>Table_query__44[[#This Row],[Grant Received]]*0.8</f>
        <v>633.63520000000005</v>
      </c>
      <c r="X267" s="32"/>
    </row>
    <row r="268" spans="1:24">
      <c r="A268" s="31" t="str">
        <f>LEFT(Table_query__44[[#This Row],[Title]],(FIND(" ",Table_query__44[[#This Row],[Title]],1)-1))</f>
        <v>REA</v>
      </c>
      <c r="B268" s="32" t="s">
        <v>390</v>
      </c>
      <c r="C268" s="32" t="s">
        <v>123</v>
      </c>
      <c r="D268" s="34">
        <v>60</v>
      </c>
      <c r="E268" s="34">
        <v>5</v>
      </c>
      <c r="F268" s="32" t="s">
        <v>390</v>
      </c>
      <c r="G268" s="34">
        <v>2110.11</v>
      </c>
      <c r="H268" s="34">
        <v>1375</v>
      </c>
      <c r="I268" s="34">
        <v>544</v>
      </c>
      <c r="J268" s="34">
        <v>504</v>
      </c>
      <c r="K268" s="36">
        <v>448.56</v>
      </c>
      <c r="L268" s="32" t="s">
        <v>361</v>
      </c>
      <c r="M268" s="32"/>
      <c r="N268" s="32" t="s">
        <v>359</v>
      </c>
      <c r="O268" s="33">
        <v>43896.883738425924</v>
      </c>
      <c r="P268" s="32" t="s">
        <v>358</v>
      </c>
      <c r="Q268" s="32" t="s">
        <v>357</v>
      </c>
      <c r="R268" s="32"/>
      <c r="S268" s="32">
        <f>Table_query__44[[#This Row],[Grant Received]]*0.95</f>
        <v>426.13200000000001</v>
      </c>
      <c r="T268" s="32"/>
      <c r="U268" s="32">
        <f>Table_query__44[[#This Row],[Grant Received]]*0.9</f>
        <v>403.70400000000001</v>
      </c>
      <c r="V268" s="32"/>
      <c r="W268" s="32">
        <f>Table_query__44[[#This Row],[Grant Received]]*0.8</f>
        <v>358.84800000000001</v>
      </c>
      <c r="X268" s="32"/>
    </row>
    <row r="269" spans="1:24">
      <c r="A269" s="31" t="str">
        <f>LEFT(Table_query__44[[#This Row],[Title]],(FIND(" ",Table_query__44[[#This Row],[Title]],1)-1))</f>
        <v>REA</v>
      </c>
      <c r="B269" s="32" t="s">
        <v>390</v>
      </c>
      <c r="C269" s="32" t="s">
        <v>509</v>
      </c>
      <c r="D269" s="34">
        <v>75</v>
      </c>
      <c r="E269" s="34">
        <v>4</v>
      </c>
      <c r="F269" s="32" t="s">
        <v>390</v>
      </c>
      <c r="G269" s="34">
        <v>285.2</v>
      </c>
      <c r="H269" s="34">
        <v>30</v>
      </c>
      <c r="I269" s="34">
        <v>80</v>
      </c>
      <c r="J269" s="34">
        <v>30</v>
      </c>
      <c r="K269" s="36">
        <v>20</v>
      </c>
      <c r="L269" s="32" t="s">
        <v>361</v>
      </c>
      <c r="M269" s="32"/>
      <c r="N269" s="32" t="s">
        <v>359</v>
      </c>
      <c r="O269" s="33">
        <v>43896.883958333332</v>
      </c>
      <c r="P269" s="32" t="s">
        <v>358</v>
      </c>
      <c r="Q269" s="32" t="s">
        <v>357</v>
      </c>
      <c r="R269" s="32"/>
      <c r="S269" s="32">
        <f>Table_query__44[[#This Row],[Grant Received]]*0.95</f>
        <v>19</v>
      </c>
      <c r="T269" s="32"/>
      <c r="U269" s="32">
        <f>Table_query__44[[#This Row],[Grant Received]]*0.9</f>
        <v>18</v>
      </c>
      <c r="V269" s="32"/>
      <c r="W269" s="32">
        <f>Table_query__44[[#This Row],[Grant Received]]*0.8</f>
        <v>16</v>
      </c>
      <c r="X269" s="32"/>
    </row>
    <row r="270" spans="1:24">
      <c r="A270" s="31" t="str">
        <f>LEFT(Table_query__44[[#This Row],[Title]],(FIND(" ",Table_query__44[[#This Row],[Title]],1)-1))</f>
        <v>REA</v>
      </c>
      <c r="B270" s="32" t="s">
        <v>390</v>
      </c>
      <c r="C270" s="32" t="s">
        <v>121</v>
      </c>
      <c r="D270" s="34">
        <v>200</v>
      </c>
      <c r="E270" s="34">
        <v>5</v>
      </c>
      <c r="F270" s="32" t="s">
        <v>390</v>
      </c>
      <c r="G270" s="34">
        <v>9754.4</v>
      </c>
      <c r="H270" s="34">
        <v>7215.56</v>
      </c>
      <c r="I270" s="34">
        <v>1600</v>
      </c>
      <c r="J270" s="34">
        <v>1600</v>
      </c>
      <c r="K270" s="36">
        <v>932.53279999999995</v>
      </c>
      <c r="L270" s="32" t="s">
        <v>361</v>
      </c>
      <c r="M270" s="32"/>
      <c r="N270" s="32" t="s">
        <v>359</v>
      </c>
      <c r="O270" s="33">
        <v>43901.713634259257</v>
      </c>
      <c r="P270" s="32" t="s">
        <v>358</v>
      </c>
      <c r="Q270" s="32" t="s">
        <v>357</v>
      </c>
      <c r="R270" s="32"/>
      <c r="S270" s="32">
        <f>Table_query__44[[#This Row],[Grant Received]]*0.95</f>
        <v>885.90615999999989</v>
      </c>
      <c r="T270" s="32"/>
      <c r="U270" s="32">
        <f>Table_query__44[[#This Row],[Grant Received]]*0.9</f>
        <v>839.27951999999993</v>
      </c>
      <c r="V270" s="32"/>
      <c r="W270" s="32">
        <f>Table_query__44[[#This Row],[Grant Received]]*0.8</f>
        <v>746.02624000000003</v>
      </c>
      <c r="X270" s="32"/>
    </row>
    <row r="271" spans="1:24">
      <c r="A271" s="31" t="str">
        <f>LEFT(Table_query__44[[#This Row],[Title]],(FIND(" ",Table_query__44[[#This Row],[Title]],1)-1))</f>
        <v>REA</v>
      </c>
      <c r="B271" s="32" t="s">
        <v>390</v>
      </c>
      <c r="C271" s="32" t="s">
        <v>391</v>
      </c>
      <c r="D271" s="34">
        <v>70</v>
      </c>
      <c r="E271" s="34">
        <v>4</v>
      </c>
      <c r="F271" s="32" t="s">
        <v>390</v>
      </c>
      <c r="G271" s="34">
        <v>1045</v>
      </c>
      <c r="H271" s="34">
        <v>530</v>
      </c>
      <c r="I271" s="34">
        <v>530</v>
      </c>
      <c r="J271" s="34">
        <v>445</v>
      </c>
      <c r="K271" s="36">
        <v>282.39999999999998</v>
      </c>
      <c r="L271" s="32" t="s">
        <v>361</v>
      </c>
      <c r="M271" s="32"/>
      <c r="N271" s="32" t="s">
        <v>359</v>
      </c>
      <c r="O271" s="33">
        <v>43896.884363425925</v>
      </c>
      <c r="P271" s="32" t="s">
        <v>358</v>
      </c>
      <c r="Q271" s="32" t="s">
        <v>357</v>
      </c>
      <c r="R271" s="32"/>
      <c r="S271" s="32">
        <f>Table_query__44[[#This Row],[Grant Received]]*0.95</f>
        <v>268.27999999999997</v>
      </c>
      <c r="T271" s="32"/>
      <c r="U271" s="32">
        <f>Table_query__44[[#This Row],[Grant Received]]*0.9</f>
        <v>254.16</v>
      </c>
      <c r="V271" s="32"/>
      <c r="W271" s="32">
        <f>Table_query__44[[#This Row],[Grant Received]]*0.8</f>
        <v>225.92</v>
      </c>
      <c r="X271" s="32"/>
    </row>
    <row r="272" spans="1:24">
      <c r="A272" s="31" t="str">
        <f>LEFT(Table_query__44[[#This Row],[Title]],(FIND(" ",Table_query__44[[#This Row],[Title]],1)-1))</f>
        <v>REA</v>
      </c>
      <c r="B272" s="32" t="s">
        <v>390</v>
      </c>
      <c r="C272" s="32" t="s">
        <v>120</v>
      </c>
      <c r="D272" s="34">
        <v>80</v>
      </c>
      <c r="E272" s="34">
        <v>4</v>
      </c>
      <c r="F272" s="32" t="s">
        <v>390</v>
      </c>
      <c r="G272" s="34">
        <v>1820.46</v>
      </c>
      <c r="H272" s="34">
        <v>1297</v>
      </c>
      <c r="I272" s="34">
        <v>388</v>
      </c>
      <c r="J272" s="34">
        <v>315</v>
      </c>
      <c r="K272" s="36">
        <v>210.95424</v>
      </c>
      <c r="L272" s="32" t="s">
        <v>361</v>
      </c>
      <c r="M272" s="32"/>
      <c r="N272" s="32" t="s">
        <v>359</v>
      </c>
      <c r="O272" s="33">
        <v>43901.713854166665</v>
      </c>
      <c r="P272" s="32" t="s">
        <v>358</v>
      </c>
      <c r="Q272" s="32" t="s">
        <v>357</v>
      </c>
      <c r="R272" s="32"/>
      <c r="S272" s="32">
        <f>Table_query__44[[#This Row],[Grant Received]]*0.95</f>
        <v>200.40652799999998</v>
      </c>
      <c r="T272" s="32"/>
      <c r="U272" s="32">
        <f>Table_query__44[[#This Row],[Grant Received]]*0.9</f>
        <v>189.85881599999999</v>
      </c>
      <c r="V272" s="32"/>
      <c r="W272" s="32">
        <f>Table_query__44[[#This Row],[Grant Received]]*0.8</f>
        <v>168.76339200000001</v>
      </c>
      <c r="X272" s="32"/>
    </row>
    <row r="273" spans="1:24">
      <c r="A273" s="31" t="str">
        <f>LEFT(Table_query__44[[#This Row],[Title]],(FIND(" ",Table_query__44[[#This Row],[Title]],1)-1))</f>
        <v>REA</v>
      </c>
      <c r="B273" s="32" t="s">
        <v>390</v>
      </c>
      <c r="C273" s="32" t="s">
        <v>117</v>
      </c>
      <c r="D273" s="34"/>
      <c r="E273" s="34"/>
      <c r="F273" s="32" t="s">
        <v>390</v>
      </c>
      <c r="G273" s="34">
        <v>720</v>
      </c>
      <c r="H273" s="34">
        <v>610</v>
      </c>
      <c r="I273" s="34">
        <v>110</v>
      </c>
      <c r="J273" s="34">
        <v>110</v>
      </c>
      <c r="K273" s="36">
        <v>98.12</v>
      </c>
      <c r="L273" s="32" t="s">
        <v>361</v>
      </c>
      <c r="M273" s="32"/>
      <c r="N273" s="32" t="s">
        <v>359</v>
      </c>
      <c r="O273" s="33">
        <v>43901.714375000003</v>
      </c>
      <c r="P273" s="32" t="s">
        <v>358</v>
      </c>
      <c r="Q273" s="32" t="s">
        <v>357</v>
      </c>
      <c r="R273" s="32"/>
      <c r="S273" s="32">
        <f>Table_query__44[[#This Row],[Grant Received]]*0.95</f>
        <v>93.213999999999999</v>
      </c>
      <c r="T273" s="32"/>
      <c r="U273" s="32">
        <f>Table_query__44[[#This Row],[Grant Received]]*0.9</f>
        <v>88.308000000000007</v>
      </c>
      <c r="V273" s="32"/>
      <c r="W273" s="32">
        <f>Table_query__44[[#This Row],[Grant Received]]*0.8</f>
        <v>78.496000000000009</v>
      </c>
      <c r="X273" s="32"/>
    </row>
    <row r="274" spans="1:24">
      <c r="A274" s="31" t="str">
        <f>LEFT(Table_query__44[[#This Row],[Title]],(FIND(" ",Table_query__44[[#This Row],[Title]],1)-1))</f>
        <v>REA</v>
      </c>
      <c r="B274" s="32" t="s">
        <v>390</v>
      </c>
      <c r="C274" s="32" t="s">
        <v>116</v>
      </c>
      <c r="D274" s="34">
        <v>70</v>
      </c>
      <c r="E274" s="34">
        <v>6</v>
      </c>
      <c r="F274" s="32" t="s">
        <v>390</v>
      </c>
      <c r="G274" s="34">
        <v>786</v>
      </c>
      <c r="H274" s="34">
        <v>225</v>
      </c>
      <c r="I274" s="34">
        <v>193</v>
      </c>
      <c r="J274" s="34">
        <v>175</v>
      </c>
      <c r="K274" s="36">
        <v>100.2</v>
      </c>
      <c r="L274" s="32" t="s">
        <v>361</v>
      </c>
      <c r="M274" s="32"/>
      <c r="N274" s="32" t="s">
        <v>359</v>
      </c>
      <c r="O274" s="33">
        <v>43896.884641203702</v>
      </c>
      <c r="P274" s="32" t="s">
        <v>358</v>
      </c>
      <c r="Q274" s="32" t="s">
        <v>357</v>
      </c>
      <c r="R274" s="32"/>
      <c r="S274" s="32">
        <f>Table_query__44[[#This Row],[Grant Received]]*0.95</f>
        <v>95.19</v>
      </c>
      <c r="T274" s="32"/>
      <c r="U274" s="32">
        <f>Table_query__44[[#This Row],[Grant Received]]*0.9</f>
        <v>90.18</v>
      </c>
      <c r="V274" s="32"/>
      <c r="W274" s="32">
        <f>Table_query__44[[#This Row],[Grant Received]]*0.8</f>
        <v>80.160000000000011</v>
      </c>
      <c r="X274" s="32"/>
    </row>
    <row r="275" spans="1:24">
      <c r="A275" s="31" t="str">
        <f>LEFT(Table_query__44[[#This Row],[Title]],(FIND(" ",Table_query__44[[#This Row],[Title]],1)-1))</f>
        <v>REA</v>
      </c>
      <c r="B275" s="32" t="s">
        <v>390</v>
      </c>
      <c r="C275" s="32" t="s">
        <v>115</v>
      </c>
      <c r="D275" s="34">
        <v>80</v>
      </c>
      <c r="E275" s="34">
        <v>8</v>
      </c>
      <c r="F275" s="32" t="s">
        <v>390</v>
      </c>
      <c r="G275" s="34">
        <v>4027.65</v>
      </c>
      <c r="H275" s="34">
        <v>2700</v>
      </c>
      <c r="I275" s="34">
        <v>840</v>
      </c>
      <c r="J275" s="34">
        <v>840</v>
      </c>
      <c r="K275" s="36">
        <v>600</v>
      </c>
      <c r="L275" s="32" t="s">
        <v>361</v>
      </c>
      <c r="M275" s="32"/>
      <c r="N275" s="32" t="s">
        <v>359</v>
      </c>
      <c r="O275" s="33">
        <v>43896.88484953704</v>
      </c>
      <c r="P275" s="32" t="s">
        <v>358</v>
      </c>
      <c r="Q275" s="32" t="s">
        <v>357</v>
      </c>
      <c r="R275" s="32"/>
      <c r="S275" s="32">
        <f>Table_query__44[[#This Row],[Grant Received]]*0.95</f>
        <v>570</v>
      </c>
      <c r="T275" s="32"/>
      <c r="U275" s="32">
        <f>Table_query__44[[#This Row],[Grant Received]]*0.9</f>
        <v>540</v>
      </c>
      <c r="V275" s="32"/>
      <c r="W275" s="32">
        <f>Table_query__44[[#This Row],[Grant Received]]*0.8</f>
        <v>480</v>
      </c>
      <c r="X275" s="32"/>
    </row>
    <row r="276" spans="1:24">
      <c r="A276" s="31" t="str">
        <f>LEFT(Table_query__44[[#This Row],[Title]],(FIND(" ",Table_query__44[[#This Row],[Title]],1)-1))</f>
        <v>REA</v>
      </c>
      <c r="B276" s="32" t="s">
        <v>390</v>
      </c>
      <c r="C276" s="32" t="s">
        <v>114</v>
      </c>
      <c r="D276" s="34">
        <v>20</v>
      </c>
      <c r="E276" s="34">
        <v>5</v>
      </c>
      <c r="F276" s="32" t="s">
        <v>390</v>
      </c>
      <c r="G276" s="34">
        <v>260</v>
      </c>
      <c r="H276" s="34">
        <v>112.5</v>
      </c>
      <c r="I276" s="34">
        <v>122.5</v>
      </c>
      <c r="J276" s="34">
        <v>92.5</v>
      </c>
      <c r="K276" s="36">
        <v>72.5</v>
      </c>
      <c r="L276" s="32" t="s">
        <v>361</v>
      </c>
      <c r="M276" s="32"/>
      <c r="N276" s="32" t="s">
        <v>359</v>
      </c>
      <c r="O276" s="33">
        <v>43892.353831018518</v>
      </c>
      <c r="P276" s="32" t="s">
        <v>358</v>
      </c>
      <c r="Q276" s="32" t="s">
        <v>357</v>
      </c>
      <c r="R276" s="32"/>
      <c r="S276" s="32">
        <f>Table_query__44[[#This Row],[Grant Received]]*0.95</f>
        <v>68.875</v>
      </c>
      <c r="T276" s="32"/>
      <c r="U276" s="32">
        <f>Table_query__44[[#This Row],[Grant Received]]*0.9</f>
        <v>65.25</v>
      </c>
      <c r="V276" s="32"/>
      <c r="W276" s="32">
        <f>Table_query__44[[#This Row],[Grant Received]]*0.8</f>
        <v>58</v>
      </c>
      <c r="X276" s="32"/>
    </row>
    <row r="277" spans="1:24">
      <c r="A277" s="31" t="str">
        <f>LEFT(Table_query__44[[#This Row],[Title]],(FIND(" ",Table_query__44[[#This Row],[Title]],1)-1))</f>
        <v>REA</v>
      </c>
      <c r="B277" s="32" t="s">
        <v>390</v>
      </c>
      <c r="C277" s="32" t="s">
        <v>113</v>
      </c>
      <c r="D277" s="34">
        <v>120</v>
      </c>
      <c r="E277" s="34">
        <v>3</v>
      </c>
      <c r="F277" s="32" t="s">
        <v>390</v>
      </c>
      <c r="G277" s="34">
        <v>540</v>
      </c>
      <c r="H277" s="34">
        <v>225</v>
      </c>
      <c r="I277" s="34">
        <v>180</v>
      </c>
      <c r="J277" s="34">
        <v>180</v>
      </c>
      <c r="K277" s="36">
        <v>37.799999999999997</v>
      </c>
      <c r="L277" s="32" t="s">
        <v>361</v>
      </c>
      <c r="M277" s="32"/>
      <c r="N277" s="32" t="s">
        <v>359</v>
      </c>
      <c r="O277" s="33">
        <v>43896.885092592594</v>
      </c>
      <c r="P277" s="32" t="s">
        <v>358</v>
      </c>
      <c r="Q277" s="32" t="s">
        <v>357</v>
      </c>
      <c r="R277" s="32"/>
      <c r="S277" s="32">
        <f>Table_query__44[[#This Row],[Grant Received]]*0.95</f>
        <v>35.909999999999997</v>
      </c>
      <c r="T277" s="32"/>
      <c r="U277" s="32">
        <f>Table_query__44[[#This Row],[Grant Received]]*0.9</f>
        <v>34.019999999999996</v>
      </c>
      <c r="V277" s="32"/>
      <c r="W277" s="32">
        <f>Table_query__44[[#This Row],[Grant Received]]*0.8</f>
        <v>30.24</v>
      </c>
      <c r="X277" s="32"/>
    </row>
    <row r="278" spans="1:24">
      <c r="A278" s="31" t="str">
        <f>LEFT(Table_query__44[[#This Row],[Title]],(FIND(" ",Table_query__44[[#This Row],[Title]],1)-1))</f>
        <v>REE</v>
      </c>
      <c r="B278" s="32" t="s">
        <v>388</v>
      </c>
      <c r="C278" s="32" t="s">
        <v>111</v>
      </c>
      <c r="D278" s="34">
        <v>35</v>
      </c>
      <c r="E278" s="34">
        <v>35</v>
      </c>
      <c r="F278" s="32" t="s">
        <v>388</v>
      </c>
      <c r="G278" s="34">
        <v>14339</v>
      </c>
      <c r="H278" s="34">
        <v>7485</v>
      </c>
      <c r="I278" s="34">
        <v>5900</v>
      </c>
      <c r="J278" s="34">
        <v>5900</v>
      </c>
      <c r="K278" s="36">
        <v>5276.9344250000004</v>
      </c>
      <c r="L278" s="32" t="s">
        <v>361</v>
      </c>
      <c r="M278" s="32"/>
      <c r="N278" s="32" t="s">
        <v>359</v>
      </c>
      <c r="O278" s="33">
        <v>43901.71471064815</v>
      </c>
      <c r="P278" s="32" t="s">
        <v>358</v>
      </c>
      <c r="Q278" s="32" t="s">
        <v>357</v>
      </c>
      <c r="R278" s="32"/>
      <c r="S278" s="32">
        <f>Table_query__44[[#This Row],[Grant Received]]*0.95</f>
        <v>5013.0877037500004</v>
      </c>
      <c r="T278" s="32"/>
      <c r="U278" s="32">
        <f>Table_query__44[[#This Row],[Grant Received]]*0.9</f>
        <v>4749.2409825000004</v>
      </c>
      <c r="V278" s="32"/>
      <c r="W278" s="32">
        <f>Table_query__44[[#This Row],[Grant Received]]*0.8</f>
        <v>4221.5475400000005</v>
      </c>
      <c r="X278" s="32"/>
    </row>
    <row r="279" spans="1:24">
      <c r="A279" s="31" t="str">
        <f>LEFT(Table_query__44[[#This Row],[Title]],(FIND(" ",Table_query__44[[#This Row],[Title]],1)-1))</f>
        <v>REE</v>
      </c>
      <c r="B279" s="32" t="s">
        <v>388</v>
      </c>
      <c r="C279" s="32" t="s">
        <v>110</v>
      </c>
      <c r="D279" s="34">
        <v>35</v>
      </c>
      <c r="E279" s="34">
        <v>25</v>
      </c>
      <c r="F279" s="32" t="s">
        <v>388</v>
      </c>
      <c r="G279" s="34">
        <v>34011.730000000003</v>
      </c>
      <c r="H279" s="34">
        <v>20059</v>
      </c>
      <c r="I279" s="34">
        <v>11497.745999999999</v>
      </c>
      <c r="J279" s="34">
        <v>8244.0259999999998</v>
      </c>
      <c r="K279" s="36">
        <v>3385.0203999999999</v>
      </c>
      <c r="L279" s="32" t="s">
        <v>361</v>
      </c>
      <c r="M279" s="32"/>
      <c r="N279" s="32" t="s">
        <v>359</v>
      </c>
      <c r="O279" s="33">
        <v>43896.885798611111</v>
      </c>
      <c r="P279" s="32" t="s">
        <v>358</v>
      </c>
      <c r="Q279" s="32" t="s">
        <v>357</v>
      </c>
      <c r="R279" s="32"/>
      <c r="S279" s="32">
        <f>Table_query__44[[#This Row],[Grant Received]]*0.95</f>
        <v>3215.7693799999997</v>
      </c>
      <c r="T279" s="32"/>
      <c r="U279" s="32">
        <f>Table_query__44[[#This Row],[Grant Received]]*0.9</f>
        <v>3046.51836</v>
      </c>
      <c r="V279" s="32"/>
      <c r="W279" s="32">
        <f>Table_query__44[[#This Row],[Grant Received]]*0.8</f>
        <v>2708.0163200000002</v>
      </c>
      <c r="X279" s="32"/>
    </row>
    <row r="280" spans="1:24">
      <c r="A280" s="31" t="str">
        <f>LEFT(Table_query__44[[#This Row],[Title]],(FIND(" ",Table_query__44[[#This Row],[Title]],1)-1))</f>
        <v>REE</v>
      </c>
      <c r="B280" s="32" t="s">
        <v>388</v>
      </c>
      <c r="C280" s="32" t="s">
        <v>109</v>
      </c>
      <c r="D280" s="34">
        <v>110</v>
      </c>
      <c r="E280" s="34">
        <v>12</v>
      </c>
      <c r="F280" s="32" t="s">
        <v>388</v>
      </c>
      <c r="G280" s="34">
        <v>16796.5</v>
      </c>
      <c r="H280" s="34">
        <v>12710</v>
      </c>
      <c r="I280" s="34">
        <v>5057</v>
      </c>
      <c r="J280" s="34">
        <v>4812</v>
      </c>
      <c r="K280" s="36">
        <v>2860</v>
      </c>
      <c r="L280" s="32" t="s">
        <v>361</v>
      </c>
      <c r="M280" s="32"/>
      <c r="N280" s="32" t="s">
        <v>359</v>
      </c>
      <c r="O280" s="33">
        <v>43896.886030092595</v>
      </c>
      <c r="P280" s="32" t="s">
        <v>358</v>
      </c>
      <c r="Q280" s="32" t="s">
        <v>357</v>
      </c>
      <c r="R280" s="32"/>
      <c r="S280" s="32">
        <f>Table_query__44[[#This Row],[Grant Received]]*0.95</f>
        <v>2717</v>
      </c>
      <c r="T280" s="32"/>
      <c r="U280" s="32">
        <f>Table_query__44[[#This Row],[Grant Received]]*0.9</f>
        <v>2574</v>
      </c>
      <c r="V280" s="32"/>
      <c r="W280" s="32">
        <f>Table_query__44[[#This Row],[Grant Received]]*0.8</f>
        <v>2288</v>
      </c>
      <c r="X280" s="32"/>
    </row>
    <row r="281" spans="1:24">
      <c r="A281" s="31" t="str">
        <f>LEFT(Table_query__44[[#This Row],[Title]],(FIND(" ",Table_query__44[[#This Row],[Title]],1)-1))</f>
        <v>REE</v>
      </c>
      <c r="B281" s="32" t="s">
        <v>388</v>
      </c>
      <c r="C281" s="32" t="s">
        <v>108</v>
      </c>
      <c r="D281" s="34">
        <v>85</v>
      </c>
      <c r="E281" s="34">
        <v>49</v>
      </c>
      <c r="F281" s="32" t="s">
        <v>388</v>
      </c>
      <c r="G281" s="34">
        <v>40290.582000000002</v>
      </c>
      <c r="H281" s="34">
        <v>20542.5</v>
      </c>
      <c r="I281" s="34">
        <v>15622.5</v>
      </c>
      <c r="J281" s="34">
        <v>15622.5</v>
      </c>
      <c r="K281" s="36">
        <v>14040</v>
      </c>
      <c r="L281" s="32" t="s">
        <v>361</v>
      </c>
      <c r="M281" s="32"/>
      <c r="N281" s="32" t="s">
        <v>359</v>
      </c>
      <c r="O281" s="33">
        <v>43892.518969907411</v>
      </c>
      <c r="P281" s="32" t="s">
        <v>358</v>
      </c>
      <c r="Q281" s="32" t="s">
        <v>357</v>
      </c>
      <c r="R281" s="32"/>
      <c r="S281" s="32">
        <f>Table_query__44[[#This Row],[Grant Received]]*0.95</f>
        <v>13338</v>
      </c>
      <c r="T281" s="32"/>
      <c r="U281" s="32">
        <f>Table_query__44[[#This Row],[Grant Received]]*0.9</f>
        <v>12636</v>
      </c>
      <c r="V281" s="32"/>
      <c r="W281" s="32">
        <f>Table_query__44[[#This Row],[Grant Received]]*0.8</f>
        <v>11232</v>
      </c>
      <c r="X281" s="32"/>
    </row>
    <row r="282" spans="1:24">
      <c r="A282" s="31" t="str">
        <f>LEFT(Table_query__44[[#This Row],[Title]],(FIND(" ",Table_query__44[[#This Row],[Title]],1)-1))</f>
        <v>REE</v>
      </c>
      <c r="B282" s="32" t="s">
        <v>388</v>
      </c>
      <c r="C282" s="32" t="s">
        <v>107</v>
      </c>
      <c r="D282" s="34">
        <v>70</v>
      </c>
      <c r="E282" s="34">
        <v>20</v>
      </c>
      <c r="F282" s="32" t="s">
        <v>388</v>
      </c>
      <c r="G282" s="34">
        <v>13007.65</v>
      </c>
      <c r="H282" s="34">
        <v>6013</v>
      </c>
      <c r="I282" s="34">
        <v>5786.5</v>
      </c>
      <c r="J282" s="34">
        <v>5786.5</v>
      </c>
      <c r="K282" s="36">
        <v>4115.3</v>
      </c>
      <c r="L282" s="32" t="s">
        <v>361</v>
      </c>
      <c r="M282" s="32"/>
      <c r="N282" s="32" t="s">
        <v>359</v>
      </c>
      <c r="O282" s="33">
        <v>43896.886238425926</v>
      </c>
      <c r="P282" s="32" t="s">
        <v>358</v>
      </c>
      <c r="Q282" s="32" t="s">
        <v>357</v>
      </c>
      <c r="R282" s="32"/>
      <c r="S282" s="32">
        <f>Table_query__44[[#This Row],[Grant Received]]*0.95</f>
        <v>3909.5349999999999</v>
      </c>
      <c r="T282" s="32"/>
      <c r="U282" s="32">
        <f>Table_query__44[[#This Row],[Grant Received]]*0.9</f>
        <v>3703.7700000000004</v>
      </c>
      <c r="V282" s="32"/>
      <c r="W282" s="32">
        <f>Table_query__44[[#This Row],[Grant Received]]*0.8</f>
        <v>3292.2400000000002</v>
      </c>
      <c r="X282" s="32"/>
    </row>
    <row r="283" spans="1:24">
      <c r="A283" s="31" t="str">
        <f>LEFT(Table_query__44[[#This Row],[Title]],(FIND(" ",Table_query__44[[#This Row],[Title]],1)-1))</f>
        <v>REE</v>
      </c>
      <c r="B283" s="32" t="s">
        <v>388</v>
      </c>
      <c r="C283" s="32" t="s">
        <v>106</v>
      </c>
      <c r="D283" s="34">
        <v>40</v>
      </c>
      <c r="E283" s="34">
        <v>15</v>
      </c>
      <c r="F283" s="32" t="s">
        <v>388</v>
      </c>
      <c r="G283" s="34">
        <v>3289</v>
      </c>
      <c r="H283" s="34">
        <v>1360</v>
      </c>
      <c r="I283" s="34">
        <v>1929</v>
      </c>
      <c r="J283" s="34">
        <v>1929</v>
      </c>
      <c r="K283" s="36">
        <v>1375.5</v>
      </c>
      <c r="L283" s="32" t="s">
        <v>361</v>
      </c>
      <c r="M283" s="32"/>
      <c r="N283" s="32" t="s">
        <v>359</v>
      </c>
      <c r="O283" s="33">
        <v>43892.405474537038</v>
      </c>
      <c r="P283" s="32" t="s">
        <v>358</v>
      </c>
      <c r="Q283" s="32" t="s">
        <v>357</v>
      </c>
      <c r="R283" s="32"/>
      <c r="S283" s="32">
        <f>Table_query__44[[#This Row],[Grant Received]]*0.95</f>
        <v>1306.7249999999999</v>
      </c>
      <c r="T283" s="32"/>
      <c r="U283" s="32">
        <f>Table_query__44[[#This Row],[Grant Received]]*0.9</f>
        <v>1237.95</v>
      </c>
      <c r="V283" s="32"/>
      <c r="W283" s="32">
        <f>Table_query__44[[#This Row],[Grant Received]]*0.8</f>
        <v>1100.4000000000001</v>
      </c>
      <c r="X283" s="32"/>
    </row>
    <row r="284" spans="1:24">
      <c r="A284" s="31" t="str">
        <f>LEFT(Table_query__44[[#This Row],[Title]],(FIND(" ",Table_query__44[[#This Row],[Title]],1)-1))</f>
        <v>REE</v>
      </c>
      <c r="B284" s="32" t="s">
        <v>388</v>
      </c>
      <c r="C284" s="32" t="s">
        <v>105</v>
      </c>
      <c r="D284" s="34"/>
      <c r="E284" s="34"/>
      <c r="F284" s="32" t="s">
        <v>388</v>
      </c>
      <c r="G284" s="34"/>
      <c r="H284" s="34"/>
      <c r="I284" s="34"/>
      <c r="J284" s="34"/>
      <c r="K284" s="36"/>
      <c r="L284" s="32" t="s">
        <v>361</v>
      </c>
      <c r="M284" s="32"/>
      <c r="N284" s="32" t="s">
        <v>359</v>
      </c>
      <c r="O284" s="33">
        <v>43892.526446759257</v>
      </c>
      <c r="P284" s="32" t="s">
        <v>358</v>
      </c>
      <c r="Q284" s="32" t="s">
        <v>357</v>
      </c>
      <c r="R284" s="32"/>
      <c r="S284" s="32">
        <f>Table_query__44[[#This Row],[Grant Received]]*0.95</f>
        <v>0</v>
      </c>
      <c r="T284" s="32"/>
      <c r="U284" s="32">
        <f>Table_query__44[[#This Row],[Grant Received]]*0.9</f>
        <v>0</v>
      </c>
      <c r="V284" s="32"/>
      <c r="W284" s="32">
        <f>Table_query__44[[#This Row],[Grant Received]]*0.8</f>
        <v>0</v>
      </c>
      <c r="X284" s="32"/>
    </row>
    <row r="285" spans="1:24">
      <c r="A285" s="31" t="str">
        <f>LEFT(Table_query__44[[#This Row],[Title]],(FIND(" ",Table_query__44[[#This Row],[Title]],1)-1))</f>
        <v>REE</v>
      </c>
      <c r="B285" s="32" t="s">
        <v>388</v>
      </c>
      <c r="C285" s="32" t="s">
        <v>104</v>
      </c>
      <c r="D285" s="34">
        <v>120</v>
      </c>
      <c r="E285" s="34">
        <v>20</v>
      </c>
      <c r="F285" s="32" t="s">
        <v>388</v>
      </c>
      <c r="G285" s="34">
        <v>9396</v>
      </c>
      <c r="H285" s="34">
        <v>5460</v>
      </c>
      <c r="I285" s="34">
        <v>3865</v>
      </c>
      <c r="J285" s="34">
        <v>3865</v>
      </c>
      <c r="K285" s="36">
        <v>2174.1999999999998</v>
      </c>
      <c r="L285" s="32" t="s">
        <v>361</v>
      </c>
      <c r="M285" s="32"/>
      <c r="N285" s="32" t="s">
        <v>359</v>
      </c>
      <c r="O285" s="33">
        <v>43892.394189814811</v>
      </c>
      <c r="P285" s="32" t="s">
        <v>358</v>
      </c>
      <c r="Q285" s="32" t="s">
        <v>357</v>
      </c>
      <c r="R285" s="32"/>
      <c r="S285" s="32">
        <f>Table_query__44[[#This Row],[Grant Received]]*0.95</f>
        <v>2065.4899999999998</v>
      </c>
      <c r="T285" s="32"/>
      <c r="U285" s="32">
        <f>Table_query__44[[#This Row],[Grant Received]]*0.9</f>
        <v>1956.78</v>
      </c>
      <c r="V285" s="32"/>
      <c r="W285" s="32">
        <f>Table_query__44[[#This Row],[Grant Received]]*0.8</f>
        <v>1739.36</v>
      </c>
      <c r="X285" s="32"/>
    </row>
    <row r="286" spans="1:24">
      <c r="A286" s="31" t="str">
        <f>LEFT(Table_query__44[[#This Row],[Title]],(FIND(" ",Table_query__44[[#This Row],[Title]],1)-1))</f>
        <v>REE</v>
      </c>
      <c r="B286" s="32" t="s">
        <v>388</v>
      </c>
      <c r="C286" s="32" t="s">
        <v>103</v>
      </c>
      <c r="D286" s="34">
        <v>55</v>
      </c>
      <c r="E286" s="34">
        <v>10</v>
      </c>
      <c r="F286" s="32" t="s">
        <v>388</v>
      </c>
      <c r="G286" s="34">
        <v>27117.599999999999</v>
      </c>
      <c r="H286" s="34">
        <v>22220</v>
      </c>
      <c r="I286" s="34">
        <v>5425</v>
      </c>
      <c r="J286" s="34">
        <v>5425</v>
      </c>
      <c r="K286" s="36">
        <v>2788.5266999999999</v>
      </c>
      <c r="L286" s="32" t="s">
        <v>361</v>
      </c>
      <c r="M286" s="32"/>
      <c r="N286" s="32" t="s">
        <v>359</v>
      </c>
      <c r="O286" s="33">
        <v>43901.714965277781</v>
      </c>
      <c r="P286" s="32" t="s">
        <v>358</v>
      </c>
      <c r="Q286" s="32" t="s">
        <v>357</v>
      </c>
      <c r="R286" s="32"/>
      <c r="S286" s="32">
        <f>Table_query__44[[#This Row],[Grant Received]]*0.95</f>
        <v>2649.1003649999998</v>
      </c>
      <c r="T286" s="32"/>
      <c r="U286" s="32">
        <f>Table_query__44[[#This Row],[Grant Received]]*0.9</f>
        <v>2509.6740300000001</v>
      </c>
      <c r="V286" s="32"/>
      <c r="W286" s="32">
        <f>Table_query__44[[#This Row],[Grant Received]]*0.8</f>
        <v>2230.8213599999999</v>
      </c>
      <c r="X286" s="32"/>
    </row>
    <row r="287" spans="1:24">
      <c r="A287" s="31" t="str">
        <f>LEFT(Table_query__44[[#This Row],[Title]],(FIND(" ",Table_query__44[[#This Row],[Title]],1)-1))</f>
        <v>REE</v>
      </c>
      <c r="B287" s="32" t="s">
        <v>388</v>
      </c>
      <c r="C287" s="32" t="s">
        <v>102</v>
      </c>
      <c r="D287" s="34">
        <v>55</v>
      </c>
      <c r="E287" s="34">
        <v>45</v>
      </c>
      <c r="F287" s="32" t="s">
        <v>388</v>
      </c>
      <c r="G287" s="34">
        <v>39108.29</v>
      </c>
      <c r="H287" s="34">
        <v>22789.87</v>
      </c>
      <c r="I287" s="34">
        <v>14037.97</v>
      </c>
      <c r="J287" s="34">
        <v>14037.97</v>
      </c>
      <c r="K287" s="36">
        <v>11758.7138166</v>
      </c>
      <c r="L287" s="32" t="s">
        <v>361</v>
      </c>
      <c r="M287" s="32"/>
      <c r="N287" s="32" t="s">
        <v>359</v>
      </c>
      <c r="O287" s="33">
        <v>43901.715219907404</v>
      </c>
      <c r="P287" s="32" t="s">
        <v>358</v>
      </c>
      <c r="Q287" s="32" t="s">
        <v>357</v>
      </c>
      <c r="R287" s="32"/>
      <c r="S287" s="32">
        <f>Table_query__44[[#This Row],[Grant Received]]*0.95</f>
        <v>11170.778125770001</v>
      </c>
      <c r="T287" s="32"/>
      <c r="U287" s="32">
        <f>Table_query__44[[#This Row],[Grant Received]]*0.9</f>
        <v>10582.842434940001</v>
      </c>
      <c r="V287" s="32"/>
      <c r="W287" s="32">
        <f>Table_query__44[[#This Row],[Grant Received]]*0.8</f>
        <v>9406.97105328</v>
      </c>
      <c r="X287" s="32"/>
    </row>
    <row r="288" spans="1:24">
      <c r="A288" s="31" t="str">
        <f>LEFT(Table_query__44[[#This Row],[Title]],(FIND(" ",Table_query__44[[#This Row],[Title]],1)-1))</f>
        <v>REE</v>
      </c>
      <c r="B288" s="32" t="s">
        <v>388</v>
      </c>
      <c r="C288" s="32" t="s">
        <v>389</v>
      </c>
      <c r="D288" s="34"/>
      <c r="E288" s="34"/>
      <c r="F288" s="32" t="s">
        <v>388</v>
      </c>
      <c r="G288" s="34"/>
      <c r="H288" s="34"/>
      <c r="I288" s="34"/>
      <c r="J288" s="34"/>
      <c r="K288" s="36"/>
      <c r="L288" s="32" t="s">
        <v>361</v>
      </c>
      <c r="M288" s="32"/>
      <c r="N288" s="32" t="s">
        <v>359</v>
      </c>
      <c r="O288" s="33">
        <v>43892.52652777778</v>
      </c>
      <c r="P288" s="32" t="s">
        <v>358</v>
      </c>
      <c r="Q288" s="32" t="s">
        <v>357</v>
      </c>
      <c r="R288" s="32"/>
      <c r="S288" s="32">
        <f>Table_query__44[[#This Row],[Grant Received]]*0.95</f>
        <v>0</v>
      </c>
      <c r="T288" s="32"/>
      <c r="U288" s="32">
        <f>Table_query__44[[#This Row],[Grant Received]]*0.9</f>
        <v>0</v>
      </c>
      <c r="V288" s="32"/>
      <c r="W288" s="32">
        <f>Table_query__44[[#This Row],[Grant Received]]*0.8</f>
        <v>0</v>
      </c>
      <c r="X288" s="32"/>
    </row>
    <row r="289" spans="1:24">
      <c r="A289" s="31" t="str">
        <f>LEFT(Table_query__44[[#This Row],[Title]],(FIND(" ",Table_query__44[[#This Row],[Title]],1)-1))</f>
        <v>REG</v>
      </c>
      <c r="B289" s="32" t="s">
        <v>385</v>
      </c>
      <c r="C289" s="32" t="s">
        <v>101</v>
      </c>
      <c r="D289" s="34">
        <v>25</v>
      </c>
      <c r="E289" s="34">
        <v>5</v>
      </c>
      <c r="F289" s="32" t="s">
        <v>385</v>
      </c>
      <c r="G289" s="34">
        <v>523.75</v>
      </c>
      <c r="H289" s="34">
        <v>292</v>
      </c>
      <c r="I289" s="34">
        <v>163</v>
      </c>
      <c r="J289" s="34">
        <v>118</v>
      </c>
      <c r="K289" s="36">
        <v>118</v>
      </c>
      <c r="L289" s="32" t="s">
        <v>361</v>
      </c>
      <c r="M289" s="32"/>
      <c r="N289" s="32" t="s">
        <v>359</v>
      </c>
      <c r="O289" s="33">
        <v>43892.36209490741</v>
      </c>
      <c r="P289" s="32" t="s">
        <v>358</v>
      </c>
      <c r="Q289" s="32" t="s">
        <v>357</v>
      </c>
      <c r="R289" s="32"/>
      <c r="S289" s="32">
        <f>Table_query__44[[#This Row],[Grant Received]]*0.95</f>
        <v>112.1</v>
      </c>
      <c r="T289" s="32"/>
      <c r="U289" s="32">
        <f>Table_query__44[[#This Row],[Grant Received]]*0.9</f>
        <v>106.2</v>
      </c>
      <c r="V289" s="32"/>
      <c r="W289" s="32">
        <f>Table_query__44[[#This Row],[Grant Received]]*0.8</f>
        <v>94.4</v>
      </c>
      <c r="X289" s="32"/>
    </row>
    <row r="290" spans="1:24">
      <c r="A290" s="31" t="str">
        <f>LEFT(Table_query__44[[#This Row],[Title]],(FIND(" ",Table_query__44[[#This Row],[Title]],1)-1))</f>
        <v>REG</v>
      </c>
      <c r="B290" s="32" t="s">
        <v>385</v>
      </c>
      <c r="C290" s="32" t="s">
        <v>100</v>
      </c>
      <c r="D290" s="34">
        <v>50</v>
      </c>
      <c r="E290" s="34">
        <v>4</v>
      </c>
      <c r="F290" s="32" t="s">
        <v>385</v>
      </c>
      <c r="G290" s="34">
        <v>1807.98</v>
      </c>
      <c r="H290" s="34">
        <v>1550</v>
      </c>
      <c r="I290" s="34">
        <v>305</v>
      </c>
      <c r="J290" s="34">
        <v>105</v>
      </c>
      <c r="K290" s="36">
        <v>67.325999999999993</v>
      </c>
      <c r="L290" s="32" t="s">
        <v>361</v>
      </c>
      <c r="M290" s="32"/>
      <c r="N290" s="32" t="s">
        <v>359</v>
      </c>
      <c r="O290" s="33">
        <v>43901.715497685182</v>
      </c>
      <c r="P290" s="32" t="s">
        <v>358</v>
      </c>
      <c r="Q290" s="32" t="s">
        <v>357</v>
      </c>
      <c r="R290" s="32"/>
      <c r="S290" s="32">
        <f>Table_query__44[[#This Row],[Grant Received]]*0.95</f>
        <v>63.959699999999991</v>
      </c>
      <c r="T290" s="32"/>
      <c r="U290" s="32">
        <f>Table_query__44[[#This Row],[Grant Received]]*0.9</f>
        <v>60.593399999999995</v>
      </c>
      <c r="V290" s="32"/>
      <c r="W290" s="32">
        <f>Table_query__44[[#This Row],[Grant Received]]*0.8</f>
        <v>53.860799999999998</v>
      </c>
      <c r="X290" s="32"/>
    </row>
    <row r="291" spans="1:24">
      <c r="A291" s="31" t="str">
        <f>LEFT(Table_query__44[[#This Row],[Title]],(FIND(" ",Table_query__44[[#This Row],[Title]],1)-1))</f>
        <v>REG</v>
      </c>
      <c r="B291" s="32" t="s">
        <v>385</v>
      </c>
      <c r="C291" s="32" t="s">
        <v>387</v>
      </c>
      <c r="D291" s="34">
        <v>75</v>
      </c>
      <c r="E291" s="34">
        <v>0</v>
      </c>
      <c r="F291" s="32" t="s">
        <v>385</v>
      </c>
      <c r="G291" s="34">
        <v>1443</v>
      </c>
      <c r="H291" s="34">
        <v>750</v>
      </c>
      <c r="I291" s="34">
        <v>734</v>
      </c>
      <c r="J291" s="34">
        <v>54</v>
      </c>
      <c r="K291" s="36">
        <v>54</v>
      </c>
      <c r="L291" s="32" t="s">
        <v>361</v>
      </c>
      <c r="M291" s="32"/>
      <c r="N291" s="32" t="s">
        <v>359</v>
      </c>
      <c r="O291" s="33">
        <v>43906.459652777776</v>
      </c>
      <c r="P291" s="32" t="s">
        <v>358</v>
      </c>
      <c r="Q291" s="32" t="s">
        <v>357</v>
      </c>
      <c r="R291" s="32"/>
      <c r="S291" s="32">
        <f>Table_query__44[[#This Row],[Grant Received]]*0.95</f>
        <v>51.3</v>
      </c>
      <c r="T291" s="32"/>
      <c r="U291" s="32">
        <f>Table_query__44[[#This Row],[Grant Received]]*0.9</f>
        <v>48.6</v>
      </c>
      <c r="V291" s="32"/>
      <c r="W291" s="32">
        <f>Table_query__44[[#This Row],[Grant Received]]*0.8</f>
        <v>43.2</v>
      </c>
      <c r="X291" s="32"/>
    </row>
    <row r="292" spans="1:24">
      <c r="A292" s="31" t="str">
        <f>LEFT(Table_query__44[[#This Row],[Title]],(FIND(" ",Table_query__44[[#This Row],[Title]],1)-1))</f>
        <v>REG</v>
      </c>
      <c r="B292" s="32" t="s">
        <v>385</v>
      </c>
      <c r="C292" s="32" t="s">
        <v>99</v>
      </c>
      <c r="D292" s="34">
        <v>50</v>
      </c>
      <c r="E292" s="34">
        <v>4</v>
      </c>
      <c r="F292" s="32" t="s">
        <v>385</v>
      </c>
      <c r="G292" s="34">
        <v>570</v>
      </c>
      <c r="H292" s="34">
        <v>210</v>
      </c>
      <c r="I292" s="34">
        <v>165</v>
      </c>
      <c r="J292" s="34">
        <v>165</v>
      </c>
      <c r="K292" s="36">
        <v>94.016999999999996</v>
      </c>
      <c r="L292" s="32" t="s">
        <v>361</v>
      </c>
      <c r="M292" s="32"/>
      <c r="N292" s="32" t="s">
        <v>359</v>
      </c>
      <c r="O292" s="33">
        <v>43901.715810185182</v>
      </c>
      <c r="P292" s="32" t="s">
        <v>358</v>
      </c>
      <c r="Q292" s="32" t="s">
        <v>357</v>
      </c>
      <c r="R292" s="32"/>
      <c r="S292" s="32">
        <f>Table_query__44[[#This Row],[Grant Received]]*0.95</f>
        <v>89.316149999999993</v>
      </c>
      <c r="T292" s="32"/>
      <c r="U292" s="32">
        <f>Table_query__44[[#This Row],[Grant Received]]*0.9</f>
        <v>84.615300000000005</v>
      </c>
      <c r="V292" s="32"/>
      <c r="W292" s="32">
        <f>Table_query__44[[#This Row],[Grant Received]]*0.8</f>
        <v>75.2136</v>
      </c>
      <c r="X292" s="32"/>
    </row>
    <row r="293" spans="1:24">
      <c r="A293" s="31" t="str">
        <f>LEFT(Table_query__44[[#This Row],[Title]],(FIND(" ",Table_query__44[[#This Row],[Title]],1)-1))</f>
        <v>REG</v>
      </c>
      <c r="B293" s="32" t="s">
        <v>385</v>
      </c>
      <c r="C293" s="32" t="s">
        <v>98</v>
      </c>
      <c r="D293" s="34">
        <v>20</v>
      </c>
      <c r="E293" s="34">
        <v>4</v>
      </c>
      <c r="F293" s="32" t="s">
        <v>385</v>
      </c>
      <c r="G293" s="34">
        <v>160</v>
      </c>
      <c r="H293" s="34">
        <v>0</v>
      </c>
      <c r="I293" s="34">
        <v>30</v>
      </c>
      <c r="J293" s="34">
        <v>30</v>
      </c>
      <c r="K293" s="36">
        <v>17.532</v>
      </c>
      <c r="L293" s="32" t="s">
        <v>361</v>
      </c>
      <c r="M293" s="32"/>
      <c r="N293" s="32" t="s">
        <v>359</v>
      </c>
      <c r="O293" s="33">
        <v>43901.715995370374</v>
      </c>
      <c r="P293" s="32" t="s">
        <v>358</v>
      </c>
      <c r="Q293" s="32" t="s">
        <v>357</v>
      </c>
      <c r="R293" s="32"/>
      <c r="S293" s="32">
        <f>Table_query__44[[#This Row],[Grant Received]]*0.95</f>
        <v>16.6554</v>
      </c>
      <c r="T293" s="32"/>
      <c r="U293" s="32">
        <f>Table_query__44[[#This Row],[Grant Received]]*0.9</f>
        <v>15.7788</v>
      </c>
      <c r="V293" s="32"/>
      <c r="W293" s="32">
        <f>Table_query__44[[#This Row],[Grant Received]]*0.8</f>
        <v>14.025600000000001</v>
      </c>
      <c r="X293" s="32"/>
    </row>
    <row r="294" spans="1:24">
      <c r="A294" s="31" t="str">
        <f>LEFT(Table_query__44[[#This Row],[Title]],(FIND(" ",Table_query__44[[#This Row],[Title]],1)-1))</f>
        <v>REG</v>
      </c>
      <c r="B294" s="32" t="s">
        <v>385</v>
      </c>
      <c r="C294" s="32" t="s">
        <v>386</v>
      </c>
      <c r="D294" s="34"/>
      <c r="E294" s="34"/>
      <c r="F294" s="32" t="s">
        <v>385</v>
      </c>
      <c r="G294" s="34"/>
      <c r="H294" s="34"/>
      <c r="I294" s="34"/>
      <c r="J294" s="34"/>
      <c r="K294" s="36"/>
      <c r="L294" s="32" t="s">
        <v>361</v>
      </c>
      <c r="M294" s="32"/>
      <c r="N294" s="32" t="s">
        <v>359</v>
      </c>
      <c r="O294" s="33">
        <v>43892.374525462961</v>
      </c>
      <c r="P294" s="32" t="s">
        <v>358</v>
      </c>
      <c r="Q294" s="32" t="s">
        <v>357</v>
      </c>
      <c r="R294" s="32"/>
      <c r="S294" s="32">
        <f>Table_query__44[[#This Row],[Grant Received]]*0.95</f>
        <v>0</v>
      </c>
      <c r="T294" s="32"/>
      <c r="U294" s="32">
        <f>Table_query__44[[#This Row],[Grant Received]]*0.9</f>
        <v>0</v>
      </c>
      <c r="V294" s="32"/>
      <c r="W294" s="32">
        <f>Table_query__44[[#This Row],[Grant Received]]*0.8</f>
        <v>0</v>
      </c>
      <c r="X294" s="32"/>
    </row>
    <row r="295" spans="1:24">
      <c r="A295" s="31" t="str">
        <f>LEFT(Table_query__44[[#This Row],[Title]],(FIND(" ",Table_query__44[[#This Row],[Title]],1)-1))</f>
        <v>REG</v>
      </c>
      <c r="B295" s="32" t="s">
        <v>385</v>
      </c>
      <c r="C295" s="32" t="s">
        <v>97</v>
      </c>
      <c r="D295" s="34">
        <v>20</v>
      </c>
      <c r="E295" s="34">
        <v>5</v>
      </c>
      <c r="F295" s="32" t="s">
        <v>385</v>
      </c>
      <c r="G295" s="34">
        <v>100</v>
      </c>
      <c r="H295" s="34">
        <v>0</v>
      </c>
      <c r="I295" s="34">
        <v>50</v>
      </c>
      <c r="J295" s="34">
        <v>50</v>
      </c>
      <c r="K295" s="36">
        <v>10</v>
      </c>
      <c r="L295" s="32" t="s">
        <v>361</v>
      </c>
      <c r="M295" s="32"/>
      <c r="N295" s="32" t="s">
        <v>359</v>
      </c>
      <c r="O295" s="33">
        <v>43896.887326388889</v>
      </c>
      <c r="P295" s="32" t="s">
        <v>358</v>
      </c>
      <c r="Q295" s="32" t="s">
        <v>357</v>
      </c>
      <c r="R295" s="32"/>
      <c r="S295" s="32">
        <f>Table_query__44[[#This Row],[Grant Received]]*0.95</f>
        <v>9.5</v>
      </c>
      <c r="T295" s="32"/>
      <c r="U295" s="32">
        <f>Table_query__44[[#This Row],[Grant Received]]*0.9</f>
        <v>9</v>
      </c>
      <c r="V295" s="32"/>
      <c r="W295" s="32">
        <f>Table_query__44[[#This Row],[Grant Received]]*0.8</f>
        <v>8</v>
      </c>
      <c r="X295" s="32"/>
    </row>
    <row r="296" spans="1:24">
      <c r="A296" s="31" t="str">
        <f>LEFT(Table_query__44[[#This Row],[Title]],(FIND(" ",Table_query__44[[#This Row],[Title]],1)-1))</f>
        <v>REG</v>
      </c>
      <c r="B296" s="32" t="s">
        <v>385</v>
      </c>
      <c r="C296" s="32" t="s">
        <v>96</v>
      </c>
      <c r="D296" s="34"/>
      <c r="E296" s="34"/>
      <c r="F296" s="32" t="s">
        <v>385</v>
      </c>
      <c r="G296" s="34"/>
      <c r="H296" s="34"/>
      <c r="I296" s="34"/>
      <c r="J296" s="34"/>
      <c r="K296" s="36"/>
      <c r="L296" s="32" t="s">
        <v>361</v>
      </c>
      <c r="M296" s="32"/>
      <c r="N296" s="32" t="s">
        <v>359</v>
      </c>
      <c r="O296" s="33">
        <v>43892.377488425926</v>
      </c>
      <c r="P296" s="32" t="s">
        <v>358</v>
      </c>
      <c r="Q296" s="32" t="s">
        <v>357</v>
      </c>
      <c r="R296" s="32"/>
      <c r="S296" s="32">
        <f>Table_query__44[[#This Row],[Grant Received]]*0.95</f>
        <v>0</v>
      </c>
      <c r="T296" s="32"/>
      <c r="U296" s="32">
        <f>Table_query__44[[#This Row],[Grant Received]]*0.9</f>
        <v>0</v>
      </c>
      <c r="V296" s="32"/>
      <c r="W296" s="32">
        <f>Table_query__44[[#This Row],[Grant Received]]*0.8</f>
        <v>0</v>
      </c>
      <c r="X296" s="32"/>
    </row>
    <row r="297" spans="1:24">
      <c r="A297" s="31" t="str">
        <f>LEFT(Table_query__44[[#This Row],[Title]],(FIND(" ",Table_query__44[[#This Row],[Title]],1)-1))</f>
        <v>REG</v>
      </c>
      <c r="B297" s="32" t="s">
        <v>385</v>
      </c>
      <c r="C297" s="32" t="s">
        <v>95</v>
      </c>
      <c r="D297" s="34">
        <v>38</v>
      </c>
      <c r="E297" s="34">
        <v>3</v>
      </c>
      <c r="F297" s="32" t="s">
        <v>385</v>
      </c>
      <c r="G297" s="34">
        <v>711</v>
      </c>
      <c r="H297" s="34">
        <v>356</v>
      </c>
      <c r="I297" s="34">
        <v>270</v>
      </c>
      <c r="J297" s="34">
        <v>270</v>
      </c>
      <c r="K297" s="36">
        <v>270</v>
      </c>
      <c r="L297" s="32" t="s">
        <v>361</v>
      </c>
      <c r="M297" s="32"/>
      <c r="N297" s="32" t="s">
        <v>359</v>
      </c>
      <c r="O297" s="33">
        <v>43901.492349537039</v>
      </c>
      <c r="P297" s="32" t="s">
        <v>358</v>
      </c>
      <c r="Q297" s="32" t="s">
        <v>357</v>
      </c>
      <c r="R297" s="32"/>
      <c r="S297" s="32">
        <f>Table_query__44[[#This Row],[Grant Received]]*0.95</f>
        <v>256.5</v>
      </c>
      <c r="T297" s="32"/>
      <c r="U297" s="32">
        <f>Table_query__44[[#This Row],[Grant Received]]*0.9</f>
        <v>243</v>
      </c>
      <c r="V297" s="32"/>
      <c r="W297" s="32">
        <f>Table_query__44[[#This Row],[Grant Received]]*0.8</f>
        <v>216</v>
      </c>
      <c r="X297" s="32"/>
    </row>
    <row r="298" spans="1:24">
      <c r="A298" s="31" t="str">
        <f>LEFT(Table_query__44[[#This Row],[Title]],(FIND(" ",Table_query__44[[#This Row],[Title]],1)-1))</f>
        <v>REG</v>
      </c>
      <c r="B298" s="32" t="s">
        <v>385</v>
      </c>
      <c r="C298" s="32" t="s">
        <v>94</v>
      </c>
      <c r="D298" s="34">
        <v>45</v>
      </c>
      <c r="E298" s="34">
        <v>5</v>
      </c>
      <c r="F298" s="32" t="s">
        <v>385</v>
      </c>
      <c r="G298" s="34">
        <v>1695</v>
      </c>
      <c r="H298" s="34">
        <v>1550</v>
      </c>
      <c r="I298" s="34">
        <v>658</v>
      </c>
      <c r="J298" s="34">
        <v>658</v>
      </c>
      <c r="K298" s="36">
        <v>0</v>
      </c>
      <c r="L298" s="32" t="s">
        <v>361</v>
      </c>
      <c r="M298" s="32"/>
      <c r="N298" s="32" t="s">
        <v>359</v>
      </c>
      <c r="O298" s="33">
        <v>43892.377754629626</v>
      </c>
      <c r="P298" s="32" t="s">
        <v>358</v>
      </c>
      <c r="Q298" s="32" t="s">
        <v>357</v>
      </c>
      <c r="R298" s="32"/>
      <c r="S298" s="32">
        <f>Table_query__44[[#This Row],[Grant Received]]*0.95</f>
        <v>0</v>
      </c>
      <c r="T298" s="32"/>
      <c r="U298" s="32">
        <f>Table_query__44[[#This Row],[Grant Received]]*0.9</f>
        <v>0</v>
      </c>
      <c r="V298" s="32"/>
      <c r="W298" s="32">
        <f>Table_query__44[[#This Row],[Grant Received]]*0.8</f>
        <v>0</v>
      </c>
      <c r="X298" s="32"/>
    </row>
    <row r="299" spans="1:24">
      <c r="A299" s="31" t="str">
        <f>LEFT(Table_query__44[[#This Row],[Title]],(FIND(" ",Table_query__44[[#This Row],[Title]],1)-1))</f>
        <v>REG</v>
      </c>
      <c r="B299" s="32" t="s">
        <v>385</v>
      </c>
      <c r="C299" s="32" t="s">
        <v>93</v>
      </c>
      <c r="D299" s="34"/>
      <c r="E299" s="34"/>
      <c r="F299" s="32" t="s">
        <v>385</v>
      </c>
      <c r="G299" s="34"/>
      <c r="H299" s="34"/>
      <c r="I299" s="34"/>
      <c r="J299" s="34"/>
      <c r="K299" s="36"/>
      <c r="L299" s="32" t="s">
        <v>361</v>
      </c>
      <c r="M299" s="32"/>
      <c r="N299" s="32" t="s">
        <v>359</v>
      </c>
      <c r="O299" s="33">
        <v>43892.378206018519</v>
      </c>
      <c r="P299" s="32" t="s">
        <v>358</v>
      </c>
      <c r="Q299" s="32" t="s">
        <v>357</v>
      </c>
      <c r="R299" s="32"/>
      <c r="S299" s="32">
        <f>Table_query__44[[#This Row],[Grant Received]]*0.95</f>
        <v>0</v>
      </c>
      <c r="T299" s="32"/>
      <c r="U299" s="32">
        <f>Table_query__44[[#This Row],[Grant Received]]*0.9</f>
        <v>0</v>
      </c>
      <c r="V299" s="32"/>
      <c r="W299" s="32">
        <f>Table_query__44[[#This Row],[Grant Received]]*0.8</f>
        <v>0</v>
      </c>
      <c r="X299" s="32"/>
    </row>
    <row r="300" spans="1:24">
      <c r="A300" s="31" t="str">
        <f>LEFT(Table_query__44[[#This Row],[Title]],(FIND(" ",Table_query__44[[#This Row],[Title]],1)-1))</f>
        <v>REG</v>
      </c>
      <c r="B300" s="32" t="s">
        <v>385</v>
      </c>
      <c r="C300" s="32" t="s">
        <v>92</v>
      </c>
      <c r="D300" s="34">
        <v>160</v>
      </c>
      <c r="E300" s="34">
        <v>8</v>
      </c>
      <c r="F300" s="32" t="s">
        <v>385</v>
      </c>
      <c r="G300" s="34">
        <v>6789</v>
      </c>
      <c r="H300" s="34">
        <v>3735</v>
      </c>
      <c r="I300" s="34">
        <v>2839</v>
      </c>
      <c r="J300" s="34">
        <v>2839</v>
      </c>
      <c r="K300" s="36">
        <v>2025</v>
      </c>
      <c r="L300" s="32" t="s">
        <v>361</v>
      </c>
      <c r="M300" s="32"/>
      <c r="N300" s="32" t="s">
        <v>359</v>
      </c>
      <c r="O300" s="33">
        <v>43892.37872685185</v>
      </c>
      <c r="P300" s="32" t="s">
        <v>358</v>
      </c>
      <c r="Q300" s="32" t="s">
        <v>357</v>
      </c>
      <c r="R300" s="32"/>
      <c r="S300" s="32">
        <f>Table_query__44[[#This Row],[Grant Received]]*0.95</f>
        <v>1923.75</v>
      </c>
      <c r="T300" s="32"/>
      <c r="U300" s="32">
        <f>Table_query__44[[#This Row],[Grant Received]]*0.9</f>
        <v>1822.5</v>
      </c>
      <c r="V300" s="32"/>
      <c r="W300" s="32">
        <f>Table_query__44[[#This Row],[Grant Received]]*0.8</f>
        <v>1620</v>
      </c>
      <c r="X300" s="32"/>
    </row>
    <row r="301" spans="1:24">
      <c r="A301" s="31" t="str">
        <f>LEFT(Table_query__44[[#This Row],[Title]],(FIND(" ",Table_query__44[[#This Row],[Title]],1)-1))</f>
        <v>REG</v>
      </c>
      <c r="B301" s="32" t="s">
        <v>385</v>
      </c>
      <c r="C301" s="32" t="s">
        <v>91</v>
      </c>
      <c r="D301" s="34">
        <v>45</v>
      </c>
      <c r="E301" s="34">
        <v>13</v>
      </c>
      <c r="F301" s="32" t="s">
        <v>385</v>
      </c>
      <c r="G301" s="34">
        <v>9110</v>
      </c>
      <c r="H301" s="34">
        <v>4890</v>
      </c>
      <c r="I301" s="34">
        <v>4200</v>
      </c>
      <c r="J301" s="34">
        <v>2010</v>
      </c>
      <c r="K301" s="36">
        <v>1470</v>
      </c>
      <c r="L301" s="32" t="s">
        <v>361</v>
      </c>
      <c r="M301" s="32"/>
      <c r="N301" s="32" t="s">
        <v>359</v>
      </c>
      <c r="O301" s="33">
        <v>43892.364652777775</v>
      </c>
      <c r="P301" s="32" t="s">
        <v>358</v>
      </c>
      <c r="Q301" s="32" t="s">
        <v>357</v>
      </c>
      <c r="R301" s="32"/>
      <c r="S301" s="32">
        <f>Table_query__44[[#This Row],[Grant Received]]*0.95</f>
        <v>1396.5</v>
      </c>
      <c r="T301" s="32"/>
      <c r="U301" s="32">
        <f>Table_query__44[[#This Row],[Grant Received]]*0.9</f>
        <v>1323</v>
      </c>
      <c r="V301" s="32"/>
      <c r="W301" s="32">
        <f>Table_query__44[[#This Row],[Grant Received]]*0.8</f>
        <v>1176</v>
      </c>
      <c r="X301" s="32"/>
    </row>
    <row r="302" spans="1:24">
      <c r="A302" s="31" t="str">
        <f>LEFT(Table_query__44[[#This Row],[Title]],(FIND(" ",Table_query__44[[#This Row],[Title]],1)-1))</f>
        <v>REG</v>
      </c>
      <c r="B302" s="32" t="s">
        <v>385</v>
      </c>
      <c r="C302" s="32" t="s">
        <v>90</v>
      </c>
      <c r="D302" s="34">
        <v>75</v>
      </c>
      <c r="E302" s="34">
        <v>15</v>
      </c>
      <c r="F302" s="32" t="s">
        <v>385</v>
      </c>
      <c r="G302" s="34">
        <v>2990</v>
      </c>
      <c r="H302" s="34">
        <v>900</v>
      </c>
      <c r="I302" s="34">
        <v>1000</v>
      </c>
      <c r="J302" s="34">
        <v>1000</v>
      </c>
      <c r="K302" s="36">
        <v>455</v>
      </c>
      <c r="L302" s="32" t="s">
        <v>361</v>
      </c>
      <c r="M302" s="32"/>
      <c r="N302" s="32" t="s">
        <v>359</v>
      </c>
      <c r="O302" s="33">
        <v>43896.887696759259</v>
      </c>
      <c r="P302" s="32" t="s">
        <v>358</v>
      </c>
      <c r="Q302" s="32" t="s">
        <v>357</v>
      </c>
      <c r="R302" s="32"/>
      <c r="S302" s="32">
        <f>Table_query__44[[#This Row],[Grant Received]]*0.95</f>
        <v>432.25</v>
      </c>
      <c r="T302" s="32"/>
      <c r="U302" s="32">
        <f>Table_query__44[[#This Row],[Grant Received]]*0.9</f>
        <v>409.5</v>
      </c>
      <c r="V302" s="32"/>
      <c r="W302" s="32">
        <f>Table_query__44[[#This Row],[Grant Received]]*0.8</f>
        <v>364</v>
      </c>
      <c r="X302" s="32"/>
    </row>
    <row r="303" spans="1:24">
      <c r="A303" s="31" t="str">
        <f>LEFT(Table_query__44[[#This Row],[Title]],(FIND(" ",Table_query__44[[#This Row],[Title]],1)-1))</f>
        <v>REG</v>
      </c>
      <c r="B303" s="32" t="s">
        <v>385</v>
      </c>
      <c r="C303" s="32" t="s">
        <v>89</v>
      </c>
      <c r="D303" s="34">
        <v>50</v>
      </c>
      <c r="E303" s="34">
        <v>4</v>
      </c>
      <c r="F303" s="32" t="s">
        <v>385</v>
      </c>
      <c r="G303" s="34">
        <v>2900</v>
      </c>
      <c r="H303" s="34">
        <v>2500</v>
      </c>
      <c r="I303" s="34">
        <v>255</v>
      </c>
      <c r="J303" s="34">
        <v>130</v>
      </c>
      <c r="K303" s="36">
        <v>113.16500000000001</v>
      </c>
      <c r="L303" s="32" t="s">
        <v>361</v>
      </c>
      <c r="M303" s="32"/>
      <c r="N303" s="32" t="s">
        <v>359</v>
      </c>
      <c r="O303" s="33">
        <v>43901.716458333336</v>
      </c>
      <c r="P303" s="32" t="s">
        <v>358</v>
      </c>
      <c r="Q303" s="32" t="s">
        <v>357</v>
      </c>
      <c r="R303" s="32"/>
      <c r="S303" s="32">
        <f>Table_query__44[[#This Row],[Grant Received]]*0.95</f>
        <v>107.50675</v>
      </c>
      <c r="T303" s="32"/>
      <c r="U303" s="32">
        <f>Table_query__44[[#This Row],[Grant Received]]*0.9</f>
        <v>101.8485</v>
      </c>
      <c r="V303" s="32"/>
      <c r="W303" s="32">
        <f>Table_query__44[[#This Row],[Grant Received]]*0.8</f>
        <v>90.532000000000011</v>
      </c>
      <c r="X303" s="32"/>
    </row>
    <row r="304" spans="1:24">
      <c r="A304" s="31" t="str">
        <f>LEFT(Table_query__44[[#This Row],[Title]],(FIND(" ",Table_query__44[[#This Row],[Title]],1)-1))</f>
        <v>REV</v>
      </c>
      <c r="B304" s="32" t="s">
        <v>383</v>
      </c>
      <c r="C304" s="32" t="s">
        <v>88</v>
      </c>
      <c r="D304" s="34">
        <v>27</v>
      </c>
      <c r="E304" s="34">
        <v>0</v>
      </c>
      <c r="F304" s="32" t="s">
        <v>383</v>
      </c>
      <c r="G304" s="34">
        <v>5392.07</v>
      </c>
      <c r="H304" s="34">
        <v>1990</v>
      </c>
      <c r="I304" s="34">
        <v>3754.07</v>
      </c>
      <c r="J304" s="34">
        <v>3754.07</v>
      </c>
      <c r="K304" s="36">
        <v>3754.07</v>
      </c>
      <c r="L304" s="32" t="s">
        <v>361</v>
      </c>
      <c r="M304" s="32" t="s">
        <v>360</v>
      </c>
      <c r="N304" s="32" t="s">
        <v>359</v>
      </c>
      <c r="O304" s="33">
        <v>43906.466446759259</v>
      </c>
      <c r="P304" s="32" t="s">
        <v>358</v>
      </c>
      <c r="Q304" s="32" t="s">
        <v>357</v>
      </c>
      <c r="R304" s="32"/>
      <c r="S304" s="32">
        <f>Table_query__44[[#This Row],[Grant Received]]*0.95</f>
        <v>3566.3665000000001</v>
      </c>
      <c r="T304" s="32"/>
      <c r="U304" s="32">
        <f>Table_query__44[[#This Row],[Grant Received]]*0.9</f>
        <v>3378.663</v>
      </c>
      <c r="V304" s="32"/>
      <c r="W304" s="32">
        <f>Table_query__44[[#This Row],[Grant Received]]*0.8</f>
        <v>3003.2560000000003</v>
      </c>
      <c r="X304" s="32"/>
    </row>
    <row r="305" spans="1:24">
      <c r="A305" s="31" t="str">
        <f>LEFT(Table_query__44[[#This Row],[Title]],(FIND(" ",Table_query__44[[#This Row],[Title]],1)-1))</f>
        <v>REV</v>
      </c>
      <c r="B305" s="32" t="s">
        <v>383</v>
      </c>
      <c r="C305" s="32" t="s">
        <v>87</v>
      </c>
      <c r="D305" s="34">
        <v>20</v>
      </c>
      <c r="E305" s="34">
        <v>0</v>
      </c>
      <c r="F305" s="32" t="s">
        <v>383</v>
      </c>
      <c r="G305" s="34">
        <v>2670.5</v>
      </c>
      <c r="H305" s="34">
        <v>700</v>
      </c>
      <c r="I305" s="34">
        <v>1900.5</v>
      </c>
      <c r="J305" s="34">
        <v>1900.5</v>
      </c>
      <c r="K305" s="36">
        <v>1900.5</v>
      </c>
      <c r="L305" s="32" t="s">
        <v>361</v>
      </c>
      <c r="M305" s="32" t="s">
        <v>360</v>
      </c>
      <c r="N305" s="32" t="s">
        <v>359</v>
      </c>
      <c r="O305" s="33">
        <v>43906.468298611115</v>
      </c>
      <c r="P305" s="32" t="s">
        <v>358</v>
      </c>
      <c r="Q305" s="32" t="s">
        <v>357</v>
      </c>
      <c r="R305" s="32"/>
      <c r="S305" s="32">
        <f>Table_query__44[[#This Row],[Grant Received]]*0.95</f>
        <v>1805.4749999999999</v>
      </c>
      <c r="T305" s="32"/>
      <c r="U305" s="32">
        <f>Table_query__44[[#This Row],[Grant Received]]*0.9</f>
        <v>1710.45</v>
      </c>
      <c r="V305" s="32"/>
      <c r="W305" s="32">
        <f>Table_query__44[[#This Row],[Grant Received]]*0.8</f>
        <v>1520.4</v>
      </c>
      <c r="X305" s="32"/>
    </row>
    <row r="306" spans="1:24">
      <c r="A306" s="31" t="str">
        <f>LEFT(Table_query__44[[#This Row],[Title]],(FIND(" ",Table_query__44[[#This Row],[Title]],1)-1))</f>
        <v>REV</v>
      </c>
      <c r="B306" s="32" t="s">
        <v>383</v>
      </c>
      <c r="C306" s="32" t="s">
        <v>384</v>
      </c>
      <c r="D306" s="34">
        <v>20</v>
      </c>
      <c r="E306" s="34">
        <v>2.5</v>
      </c>
      <c r="F306" s="32" t="s">
        <v>383</v>
      </c>
      <c r="G306" s="34">
        <v>500</v>
      </c>
      <c r="H306" s="34">
        <v>0</v>
      </c>
      <c r="I306" s="34">
        <v>500</v>
      </c>
      <c r="J306" s="34">
        <v>500</v>
      </c>
      <c r="K306" s="36">
        <v>250</v>
      </c>
      <c r="L306" s="32" t="s">
        <v>361</v>
      </c>
      <c r="M306" s="32"/>
      <c r="N306" s="32" t="s">
        <v>359</v>
      </c>
      <c r="O306" s="33">
        <v>43906.459803240738</v>
      </c>
      <c r="P306" s="32" t="s">
        <v>358</v>
      </c>
      <c r="Q306" s="32" t="s">
        <v>357</v>
      </c>
      <c r="R306" s="32"/>
      <c r="S306" s="32">
        <f>Table_query__44[[#This Row],[Grant Received]]*0.95</f>
        <v>237.5</v>
      </c>
      <c r="T306" s="32"/>
      <c r="U306" s="32">
        <f>Table_query__44[[#This Row],[Grant Received]]*0.9</f>
        <v>225</v>
      </c>
      <c r="V306" s="32"/>
      <c r="W306" s="32">
        <f>Table_query__44[[#This Row],[Grant Received]]*0.8</f>
        <v>200</v>
      </c>
      <c r="X306" s="32"/>
    </row>
    <row r="307" spans="1:24">
      <c r="A307" s="31" t="str">
        <f>LEFT(Table_query__44[[#This Row],[Title]],(FIND(" ",Table_query__44[[#This Row],[Title]],1)-1))</f>
        <v>REV</v>
      </c>
      <c r="B307" s="32" t="s">
        <v>383</v>
      </c>
      <c r="C307" s="32" t="s">
        <v>86</v>
      </c>
      <c r="D307" s="34">
        <v>25</v>
      </c>
      <c r="E307" s="34">
        <v>0</v>
      </c>
      <c r="F307" s="32" t="s">
        <v>383</v>
      </c>
      <c r="G307" s="34">
        <v>5772.6</v>
      </c>
      <c r="H307" s="34">
        <v>1550</v>
      </c>
      <c r="I307" s="34">
        <v>4224.6000000000004</v>
      </c>
      <c r="J307" s="34">
        <v>3994.6</v>
      </c>
      <c r="K307" s="36">
        <v>3849.6</v>
      </c>
      <c r="L307" s="32" t="s">
        <v>361</v>
      </c>
      <c r="M307" s="32" t="s">
        <v>360</v>
      </c>
      <c r="N307" s="32" t="s">
        <v>359</v>
      </c>
      <c r="O307" s="33">
        <v>43895.686215277776</v>
      </c>
      <c r="P307" s="32" t="s">
        <v>358</v>
      </c>
      <c r="Q307" s="32" t="s">
        <v>357</v>
      </c>
      <c r="R307" s="32"/>
      <c r="S307" s="32">
        <f>Table_query__44[[#This Row],[Grant Received]]*0.95</f>
        <v>3657.12</v>
      </c>
      <c r="T307" s="32"/>
      <c r="U307" s="32">
        <f>Table_query__44[[#This Row],[Grant Received]]*0.9</f>
        <v>3464.64</v>
      </c>
      <c r="V307" s="32"/>
      <c r="W307" s="32">
        <f>Table_query__44[[#This Row],[Grant Received]]*0.8</f>
        <v>3079.6800000000003</v>
      </c>
      <c r="X307" s="32"/>
    </row>
    <row r="308" spans="1:24">
      <c r="A308" s="31" t="str">
        <f>LEFT(Table_query__44[[#This Row],[Title]],(FIND(" ",Table_query__44[[#This Row],[Title]],1)-1))</f>
        <v>RSM</v>
      </c>
      <c r="B308" s="32" t="s">
        <v>362</v>
      </c>
      <c r="C308" s="32" t="s">
        <v>85</v>
      </c>
      <c r="D308" s="34">
        <v>40</v>
      </c>
      <c r="E308" s="34">
        <v>20</v>
      </c>
      <c r="F308" s="32" t="s">
        <v>362</v>
      </c>
      <c r="G308" s="34">
        <v>1351.5</v>
      </c>
      <c r="H308" s="34">
        <v>0</v>
      </c>
      <c r="I308" s="34">
        <v>677</v>
      </c>
      <c r="J308" s="34">
        <v>627</v>
      </c>
      <c r="K308" s="36">
        <v>622.92449999999997</v>
      </c>
      <c r="L308" s="32" t="s">
        <v>361</v>
      </c>
      <c r="M308" s="32"/>
      <c r="N308" s="32" t="s">
        <v>359</v>
      </c>
      <c r="O308" s="33">
        <v>43901.71707175926</v>
      </c>
      <c r="P308" s="32" t="s">
        <v>358</v>
      </c>
      <c r="Q308" s="32" t="s">
        <v>357</v>
      </c>
      <c r="R308" s="32"/>
      <c r="S308" s="32">
        <f>Table_query__44[[#This Row],[Grant Received]]*0.95</f>
        <v>591.77827499999989</v>
      </c>
      <c r="T308" s="32"/>
      <c r="U308" s="32">
        <f>Table_query__44[[#This Row],[Grant Received]]*0.9</f>
        <v>560.63204999999994</v>
      </c>
      <c r="V308" s="32"/>
      <c r="W308" s="32">
        <f>Table_query__44[[#This Row],[Grant Received]]*0.8</f>
        <v>498.33960000000002</v>
      </c>
      <c r="X308" s="32"/>
    </row>
    <row r="309" spans="1:24">
      <c r="A309" s="31" t="str">
        <f>LEFT(Table_query__44[[#This Row],[Title]],(FIND(" ",Table_query__44[[#This Row],[Title]],1)-1))</f>
        <v>RSM</v>
      </c>
      <c r="B309" s="32" t="s">
        <v>362</v>
      </c>
      <c r="C309" s="32" t="s">
        <v>382</v>
      </c>
      <c r="D309" s="34">
        <v>32</v>
      </c>
      <c r="E309" s="34">
        <v>0</v>
      </c>
      <c r="F309" s="32" t="s">
        <v>362</v>
      </c>
      <c r="G309" s="34">
        <v>6252</v>
      </c>
      <c r="H309" s="34">
        <v>3019.5</v>
      </c>
      <c r="I309" s="34">
        <v>2470</v>
      </c>
      <c r="J309" s="34">
        <v>2470</v>
      </c>
      <c r="K309" s="36">
        <v>1700</v>
      </c>
      <c r="L309" s="32" t="s">
        <v>361</v>
      </c>
      <c r="M309" s="32"/>
      <c r="N309" s="32" t="s">
        <v>359</v>
      </c>
      <c r="O309" s="33">
        <v>43896.888240740744</v>
      </c>
      <c r="P309" s="32" t="s">
        <v>358</v>
      </c>
      <c r="Q309" s="32" t="s">
        <v>357</v>
      </c>
      <c r="R309" s="32"/>
      <c r="S309" s="32">
        <f>Table_query__44[[#This Row],[Grant Received]]*0.95</f>
        <v>1615</v>
      </c>
      <c r="T309" s="32"/>
      <c r="U309" s="32">
        <f>Table_query__44[[#This Row],[Grant Received]]*0.9</f>
        <v>1530</v>
      </c>
      <c r="V309" s="32"/>
      <c r="W309" s="32">
        <f>Table_query__44[[#This Row],[Grant Received]]*0.8</f>
        <v>1360</v>
      </c>
      <c r="X309" s="32"/>
    </row>
    <row r="310" spans="1:24">
      <c r="A310" s="31" t="str">
        <f>LEFT(Table_query__44[[#This Row],[Title]],(FIND(" ",Table_query__44[[#This Row],[Title]],1)-1))</f>
        <v>RSM</v>
      </c>
      <c r="B310" s="32" t="s">
        <v>362</v>
      </c>
      <c r="C310" s="32" t="s">
        <v>381</v>
      </c>
      <c r="D310" s="34"/>
      <c r="E310" s="34"/>
      <c r="F310" s="32" t="s">
        <v>362</v>
      </c>
      <c r="G310" s="34"/>
      <c r="H310" s="34"/>
      <c r="I310" s="34"/>
      <c r="J310" s="34"/>
      <c r="K310" s="36"/>
      <c r="L310" s="32" t="s">
        <v>361</v>
      </c>
      <c r="M310" s="32"/>
      <c r="N310" s="32" t="s">
        <v>359</v>
      </c>
      <c r="O310" s="33">
        <v>43891.846006944441</v>
      </c>
      <c r="P310" s="32" t="s">
        <v>358</v>
      </c>
      <c r="Q310" s="32" t="s">
        <v>357</v>
      </c>
      <c r="R310" s="32"/>
      <c r="S310" s="32">
        <f>Table_query__44[[#This Row],[Grant Received]]*0.95</f>
        <v>0</v>
      </c>
      <c r="T310" s="32"/>
      <c r="U310" s="32">
        <f>Table_query__44[[#This Row],[Grant Received]]*0.9</f>
        <v>0</v>
      </c>
      <c r="V310" s="32"/>
      <c r="W310" s="32">
        <f>Table_query__44[[#This Row],[Grant Received]]*0.8</f>
        <v>0</v>
      </c>
      <c r="X310" s="32"/>
    </row>
    <row r="311" spans="1:24">
      <c r="A311" s="31" t="str">
        <f>LEFT(Table_query__44[[#This Row],[Title]],(FIND(" ",Table_query__44[[#This Row],[Title]],1)-1))</f>
        <v>RSM</v>
      </c>
      <c r="B311" s="32" t="s">
        <v>362</v>
      </c>
      <c r="C311" s="32" t="s">
        <v>84</v>
      </c>
      <c r="D311" s="34"/>
      <c r="E311" s="34"/>
      <c r="F311" s="32" t="s">
        <v>362</v>
      </c>
      <c r="G311" s="34">
        <v>22645</v>
      </c>
      <c r="H311" s="34">
        <v>21175</v>
      </c>
      <c r="I311" s="34">
        <v>2000</v>
      </c>
      <c r="J311" s="34">
        <v>2000</v>
      </c>
      <c r="K311" s="36">
        <v>2000</v>
      </c>
      <c r="L311" s="32" t="s">
        <v>361</v>
      </c>
      <c r="M311" s="32" t="s">
        <v>360</v>
      </c>
      <c r="N311" s="32" t="s">
        <v>359</v>
      </c>
      <c r="O311" s="33">
        <v>43897.742465277777</v>
      </c>
      <c r="P311" s="32" t="s">
        <v>358</v>
      </c>
      <c r="Q311" s="32" t="s">
        <v>357</v>
      </c>
      <c r="R311" s="32"/>
      <c r="S311" s="32">
        <f>Table_query__44[[#This Row],[Grant Received]]*0.95</f>
        <v>1900</v>
      </c>
      <c r="T311" s="32"/>
      <c r="U311" s="32">
        <f>Table_query__44[[#This Row],[Grant Received]]*0.9</f>
        <v>1800</v>
      </c>
      <c r="V311" s="32"/>
      <c r="W311" s="32">
        <f>Table_query__44[[#This Row],[Grant Received]]*0.8</f>
        <v>1600</v>
      </c>
      <c r="X311" s="32"/>
    </row>
    <row r="312" spans="1:24">
      <c r="A312" s="31" t="str">
        <f>LEFT(Table_query__44[[#This Row],[Title]],(FIND(" ",Table_query__44[[#This Row],[Title]],1)-1))</f>
        <v>RSM</v>
      </c>
      <c r="B312" s="32" t="s">
        <v>362</v>
      </c>
      <c r="C312" s="32" t="s">
        <v>83</v>
      </c>
      <c r="D312" s="34">
        <v>30</v>
      </c>
      <c r="E312" s="34">
        <v>30</v>
      </c>
      <c r="F312" s="32" t="s">
        <v>362</v>
      </c>
      <c r="G312" s="34">
        <v>3004.33</v>
      </c>
      <c r="H312" s="34">
        <v>0</v>
      </c>
      <c r="I312" s="34">
        <v>2494.33</v>
      </c>
      <c r="J312" s="34">
        <v>2494.33</v>
      </c>
      <c r="K312" s="36">
        <v>964.33</v>
      </c>
      <c r="L312" s="32" t="s">
        <v>361</v>
      </c>
      <c r="M312" s="32"/>
      <c r="N312" s="32" t="s">
        <v>359</v>
      </c>
      <c r="O312" s="33">
        <v>43896.888472222221</v>
      </c>
      <c r="P312" s="32" t="s">
        <v>358</v>
      </c>
      <c r="Q312" s="32" t="s">
        <v>357</v>
      </c>
      <c r="R312" s="32"/>
      <c r="S312" s="32">
        <f>Table_query__44[[#This Row],[Grant Received]]*0.95</f>
        <v>916.11350000000004</v>
      </c>
      <c r="T312" s="32"/>
      <c r="U312" s="32">
        <f>Table_query__44[[#This Row],[Grant Received]]*0.9</f>
        <v>867.89700000000005</v>
      </c>
      <c r="V312" s="32"/>
      <c r="W312" s="32">
        <f>Table_query__44[[#This Row],[Grant Received]]*0.8</f>
        <v>771.46400000000006</v>
      </c>
      <c r="X312" s="32"/>
    </row>
    <row r="313" spans="1:24">
      <c r="A313" s="31" t="str">
        <f>LEFT(Table_query__44[[#This Row],[Title]],(FIND(" ",Table_query__44[[#This Row],[Title]],1)-1))</f>
        <v>RSM</v>
      </c>
      <c r="B313" s="32" t="s">
        <v>362</v>
      </c>
      <c r="C313" s="32" t="s">
        <v>81</v>
      </c>
      <c r="D313" s="34">
        <v>35</v>
      </c>
      <c r="E313" s="34">
        <v>0</v>
      </c>
      <c r="F313" s="32" t="s">
        <v>362</v>
      </c>
      <c r="G313" s="34">
        <v>1970</v>
      </c>
      <c r="H313" s="34">
        <v>1884.55</v>
      </c>
      <c r="I313" s="34">
        <v>400</v>
      </c>
      <c r="J313" s="34">
        <v>400</v>
      </c>
      <c r="K313" s="36">
        <v>250</v>
      </c>
      <c r="L313" s="32" t="s">
        <v>361</v>
      </c>
      <c r="M313" s="32"/>
      <c r="N313" s="32" t="s">
        <v>359</v>
      </c>
      <c r="O313" s="33">
        <v>43906.469050925924</v>
      </c>
      <c r="P313" s="32" t="s">
        <v>358</v>
      </c>
      <c r="Q313" s="32" t="s">
        <v>357</v>
      </c>
      <c r="R313" s="32"/>
      <c r="S313" s="32">
        <f>Table_query__44[[#This Row],[Grant Received]]*0.95</f>
        <v>237.5</v>
      </c>
      <c r="T313" s="32"/>
      <c r="U313" s="32">
        <f>Table_query__44[[#This Row],[Grant Received]]*0.9</f>
        <v>225</v>
      </c>
      <c r="V313" s="32"/>
      <c r="W313" s="32">
        <f>Table_query__44[[#This Row],[Grant Received]]*0.8</f>
        <v>200</v>
      </c>
      <c r="X313" s="32"/>
    </row>
    <row r="314" spans="1:24">
      <c r="A314" s="31" t="str">
        <f>LEFT(Table_query__44[[#This Row],[Title]],(FIND(" ",Table_query__44[[#This Row],[Title]],1)-1))</f>
        <v>RSM</v>
      </c>
      <c r="B314" s="32" t="s">
        <v>362</v>
      </c>
      <c r="C314" s="32" t="s">
        <v>80</v>
      </c>
      <c r="D314" s="34">
        <v>35</v>
      </c>
      <c r="E314" s="34">
        <v>37.002499999999998</v>
      </c>
      <c r="F314" s="32" t="s">
        <v>362</v>
      </c>
      <c r="G314" s="34">
        <v>9510</v>
      </c>
      <c r="H314" s="34">
        <v>6040</v>
      </c>
      <c r="I314" s="34">
        <v>2430</v>
      </c>
      <c r="J314" s="34">
        <v>2430</v>
      </c>
      <c r="K314" s="36">
        <v>1360.6679999999999</v>
      </c>
      <c r="L314" s="32" t="s">
        <v>361</v>
      </c>
      <c r="M314" s="32"/>
      <c r="N314" s="32" t="s">
        <v>359</v>
      </c>
      <c r="O314" s="33">
        <v>43901.71733796296</v>
      </c>
      <c r="P314" s="32" t="s">
        <v>358</v>
      </c>
      <c r="Q314" s="32" t="s">
        <v>357</v>
      </c>
      <c r="R314" s="32"/>
      <c r="S314" s="32">
        <f>Table_query__44[[#This Row],[Grant Received]]*0.95</f>
        <v>1292.6345999999999</v>
      </c>
      <c r="T314" s="32"/>
      <c r="U314" s="32">
        <f>Table_query__44[[#This Row],[Grant Received]]*0.9</f>
        <v>1224.6011999999998</v>
      </c>
      <c r="V314" s="32"/>
      <c r="W314" s="32">
        <f>Table_query__44[[#This Row],[Grant Received]]*0.8</f>
        <v>1088.5344</v>
      </c>
      <c r="X314" s="32"/>
    </row>
    <row r="315" spans="1:24">
      <c r="A315" s="31" t="str">
        <f>LEFT(Table_query__44[[#This Row],[Title]],(FIND(" ",Table_query__44[[#This Row],[Title]],1)-1))</f>
        <v>RSM</v>
      </c>
      <c r="B315" s="32" t="s">
        <v>362</v>
      </c>
      <c r="C315" s="32" t="s">
        <v>380</v>
      </c>
      <c r="D315" s="34">
        <v>21</v>
      </c>
      <c r="E315" s="34">
        <v>2</v>
      </c>
      <c r="F315" s="32" t="s">
        <v>362</v>
      </c>
      <c r="G315" s="34">
        <v>152</v>
      </c>
      <c r="H315" s="34">
        <v>0</v>
      </c>
      <c r="I315" s="34">
        <v>110</v>
      </c>
      <c r="J315" s="34">
        <v>110</v>
      </c>
      <c r="K315" s="36">
        <v>110</v>
      </c>
      <c r="L315" s="32" t="s">
        <v>361</v>
      </c>
      <c r="M315" s="32"/>
      <c r="N315" s="32" t="s">
        <v>359</v>
      </c>
      <c r="O315" s="33">
        <v>43906.469131944446</v>
      </c>
      <c r="P315" s="32" t="s">
        <v>358</v>
      </c>
      <c r="Q315" s="32" t="s">
        <v>357</v>
      </c>
      <c r="R315" s="32"/>
      <c r="S315" s="32">
        <f>Table_query__44[[#This Row],[Grant Received]]*0.95</f>
        <v>104.5</v>
      </c>
      <c r="T315" s="32"/>
      <c r="U315" s="32">
        <f>Table_query__44[[#This Row],[Grant Received]]*0.9</f>
        <v>99</v>
      </c>
      <c r="V315" s="32"/>
      <c r="W315" s="32">
        <f>Table_query__44[[#This Row],[Grant Received]]*0.8</f>
        <v>88</v>
      </c>
      <c r="X315" s="32"/>
    </row>
    <row r="316" spans="1:24">
      <c r="A316" s="31" t="str">
        <f>LEFT(Table_query__44[[#This Row],[Title]],(FIND(" ",Table_query__44[[#This Row],[Title]],1)-1))</f>
        <v>RSM</v>
      </c>
      <c r="B316" s="32" t="s">
        <v>362</v>
      </c>
      <c r="C316" s="32" t="s">
        <v>79</v>
      </c>
      <c r="D316" s="34"/>
      <c r="E316" s="34"/>
      <c r="F316" s="32" t="s">
        <v>362</v>
      </c>
      <c r="G316" s="34">
        <v>17787.490000000002</v>
      </c>
      <c r="H316" s="34">
        <v>18155</v>
      </c>
      <c r="I316" s="34">
        <v>1830</v>
      </c>
      <c r="J316" s="34">
        <v>530</v>
      </c>
      <c r="K316" s="36">
        <v>415</v>
      </c>
      <c r="L316" s="32" t="s">
        <v>361</v>
      </c>
      <c r="M316" s="32"/>
      <c r="N316" s="32" t="s">
        <v>359</v>
      </c>
      <c r="O316" s="33">
        <v>43891.85497685185</v>
      </c>
      <c r="P316" s="32" t="s">
        <v>358</v>
      </c>
      <c r="Q316" s="32" t="s">
        <v>357</v>
      </c>
      <c r="R316" s="32"/>
      <c r="S316" s="32">
        <f>Table_query__44[[#This Row],[Grant Received]]*0.95</f>
        <v>394.25</v>
      </c>
      <c r="T316" s="32"/>
      <c r="U316" s="32">
        <f>Table_query__44[[#This Row],[Grant Received]]*0.9</f>
        <v>373.5</v>
      </c>
      <c r="V316" s="32"/>
      <c r="W316" s="32">
        <f>Table_query__44[[#This Row],[Grant Received]]*0.8</f>
        <v>332</v>
      </c>
      <c r="X316" s="32"/>
    </row>
    <row r="317" spans="1:24">
      <c r="A317" s="31" t="str">
        <f>LEFT(Table_query__44[[#This Row],[Title]],(FIND(" ",Table_query__44[[#This Row],[Title]],1)-1))</f>
        <v>RSM</v>
      </c>
      <c r="B317" s="32" t="s">
        <v>362</v>
      </c>
      <c r="C317" s="32" t="s">
        <v>78</v>
      </c>
      <c r="D317" s="34">
        <v>20</v>
      </c>
      <c r="E317" s="34">
        <v>25</v>
      </c>
      <c r="F317" s="32" t="s">
        <v>362</v>
      </c>
      <c r="G317" s="34">
        <v>2464.3200000000002</v>
      </c>
      <c r="H317" s="34">
        <v>1737.5</v>
      </c>
      <c r="I317" s="34">
        <v>360</v>
      </c>
      <c r="J317" s="34">
        <v>360</v>
      </c>
      <c r="K317" s="36">
        <v>355.21199999999999</v>
      </c>
      <c r="L317" s="32" t="s">
        <v>361</v>
      </c>
      <c r="M317" s="32"/>
      <c r="N317" s="32" t="s">
        <v>359</v>
      </c>
      <c r="O317" s="33">
        <v>43901.717627314814</v>
      </c>
      <c r="P317" s="32" t="s">
        <v>358</v>
      </c>
      <c r="Q317" s="32" t="s">
        <v>357</v>
      </c>
      <c r="R317" s="32"/>
      <c r="S317" s="32">
        <f>Table_query__44[[#This Row],[Grant Received]]*0.95</f>
        <v>337.45139999999998</v>
      </c>
      <c r="T317" s="32"/>
      <c r="U317" s="32">
        <f>Table_query__44[[#This Row],[Grant Received]]*0.9</f>
        <v>319.69080000000002</v>
      </c>
      <c r="V317" s="32"/>
      <c r="W317" s="32">
        <f>Table_query__44[[#This Row],[Grant Received]]*0.8</f>
        <v>284.1696</v>
      </c>
      <c r="X317" s="32"/>
    </row>
    <row r="318" spans="1:24">
      <c r="A318" s="31" t="str">
        <f>LEFT(Table_query__44[[#This Row],[Title]],(FIND(" ",Table_query__44[[#This Row],[Title]],1)-1))</f>
        <v>RSM</v>
      </c>
      <c r="B318" s="32" t="s">
        <v>362</v>
      </c>
      <c r="C318" s="32" t="s">
        <v>77</v>
      </c>
      <c r="D318" s="34">
        <v>24</v>
      </c>
      <c r="E318" s="34">
        <v>20</v>
      </c>
      <c r="F318" s="32" t="s">
        <v>362</v>
      </c>
      <c r="G318" s="34">
        <v>1400</v>
      </c>
      <c r="H318" s="34">
        <v>850</v>
      </c>
      <c r="I318" s="34">
        <v>200</v>
      </c>
      <c r="J318" s="34">
        <v>200</v>
      </c>
      <c r="K318" s="36">
        <v>160</v>
      </c>
      <c r="L318" s="32" t="s">
        <v>361</v>
      </c>
      <c r="M318" s="32"/>
      <c r="N318" s="32" t="s">
        <v>359</v>
      </c>
      <c r="O318" s="33">
        <v>43906.469236111108</v>
      </c>
      <c r="P318" s="32" t="s">
        <v>358</v>
      </c>
      <c r="Q318" s="32" t="s">
        <v>357</v>
      </c>
      <c r="R318" s="32"/>
      <c r="S318" s="32">
        <f>Table_query__44[[#This Row],[Grant Received]]*0.95</f>
        <v>152</v>
      </c>
      <c r="T318" s="32"/>
      <c r="U318" s="32">
        <f>Table_query__44[[#This Row],[Grant Received]]*0.9</f>
        <v>144</v>
      </c>
      <c r="V318" s="32"/>
      <c r="W318" s="32">
        <f>Table_query__44[[#This Row],[Grant Received]]*0.8</f>
        <v>128</v>
      </c>
      <c r="X318" s="32"/>
    </row>
    <row r="319" spans="1:24">
      <c r="A319" s="31" t="str">
        <f>LEFT(Table_query__44[[#This Row],[Title]],(FIND(" ",Table_query__44[[#This Row],[Title]],1)-1))</f>
        <v>Silwood</v>
      </c>
      <c r="B319" s="32" t="s">
        <v>540</v>
      </c>
      <c r="C319" s="32" t="s">
        <v>76</v>
      </c>
      <c r="D319" s="34">
        <v>200</v>
      </c>
      <c r="E319" s="34">
        <v>0</v>
      </c>
      <c r="F319" s="32" t="s">
        <v>379</v>
      </c>
      <c r="G319" s="34">
        <v>6640</v>
      </c>
      <c r="H319" s="34">
        <v>0</v>
      </c>
      <c r="I319" s="34">
        <v>4440</v>
      </c>
      <c r="J319" s="34">
        <v>4440</v>
      </c>
      <c r="K319" s="36">
        <v>4440</v>
      </c>
      <c r="L319" s="32" t="s">
        <v>361</v>
      </c>
      <c r="M319" s="32" t="s">
        <v>360</v>
      </c>
      <c r="N319" s="32" t="s">
        <v>359</v>
      </c>
      <c r="O319" s="33">
        <v>43895.685601851852</v>
      </c>
      <c r="P319" s="32" t="s">
        <v>358</v>
      </c>
      <c r="Q319" s="32" t="s">
        <v>357</v>
      </c>
      <c r="R319" s="32"/>
      <c r="S319" s="32">
        <f>Table_query__44[[#This Row],[Grant Received]]*0.95</f>
        <v>4218</v>
      </c>
      <c r="T319" s="32"/>
      <c r="U319" s="32">
        <f>Table_query__44[[#This Row],[Grant Received]]*0.9</f>
        <v>3996</v>
      </c>
      <c r="V319" s="32"/>
      <c r="W319" s="32">
        <f>Table_query__44[[#This Row],[Grant Received]]*0.8</f>
        <v>3552</v>
      </c>
      <c r="X319" s="32"/>
    </row>
    <row r="320" spans="1:24">
      <c r="A320" s="31" t="str">
        <f>LEFT(Table_query__44[[#This Row],[Title]],(FIND(" ",Table_query__44[[#This Row],[Title]],1)-1))</f>
        <v>SPC</v>
      </c>
      <c r="B320" s="32" t="s">
        <v>378</v>
      </c>
      <c r="C320" s="32" t="s">
        <v>75</v>
      </c>
      <c r="D320" s="34">
        <v>60</v>
      </c>
      <c r="E320" s="34">
        <v>60</v>
      </c>
      <c r="F320" s="32" t="s">
        <v>378</v>
      </c>
      <c r="G320" s="34">
        <v>18879.59</v>
      </c>
      <c r="H320" s="34">
        <v>10197</v>
      </c>
      <c r="I320" s="34">
        <v>6150.99</v>
      </c>
      <c r="J320" s="34">
        <v>6150.99</v>
      </c>
      <c r="K320" s="36">
        <v>4243.49</v>
      </c>
      <c r="L320" s="32" t="s">
        <v>361</v>
      </c>
      <c r="M320" s="32"/>
      <c r="N320" s="32" t="s">
        <v>359</v>
      </c>
      <c r="O320" s="33">
        <v>43894.956585648149</v>
      </c>
      <c r="P320" s="32" t="s">
        <v>358</v>
      </c>
      <c r="Q320" s="32" t="s">
        <v>357</v>
      </c>
      <c r="R320" s="32"/>
      <c r="S320" s="32">
        <f>Table_query__44[[#This Row],[Grant Received]]*0.95</f>
        <v>4031.3154999999997</v>
      </c>
      <c r="T320" s="32"/>
      <c r="U320" s="32">
        <f>Table_query__44[[#This Row],[Grant Received]]*0.9</f>
        <v>3819.1410000000001</v>
      </c>
      <c r="V320" s="32"/>
      <c r="W320" s="32">
        <f>Table_query__44[[#This Row],[Grant Received]]*0.8</f>
        <v>3394.7919999999999</v>
      </c>
      <c r="X320" s="32"/>
    </row>
    <row r="321" spans="1:24">
      <c r="A321" s="31" t="str">
        <f>LEFT(Table_query__44[[#This Row],[Title]],(FIND(" ",Table_query__44[[#This Row],[Title]],1)-1))</f>
        <v>SPC</v>
      </c>
      <c r="B321" s="32" t="s">
        <v>378</v>
      </c>
      <c r="C321" s="32" t="s">
        <v>74</v>
      </c>
      <c r="D321" s="34">
        <v>100</v>
      </c>
      <c r="E321" s="34">
        <v>10</v>
      </c>
      <c r="F321" s="32" t="s">
        <v>378</v>
      </c>
      <c r="G321" s="34">
        <v>34424.76</v>
      </c>
      <c r="H321" s="34">
        <v>17132.5</v>
      </c>
      <c r="I321" s="34">
        <v>10584</v>
      </c>
      <c r="J321" s="34">
        <v>10584</v>
      </c>
      <c r="K321" s="36">
        <v>6325.1855900999999</v>
      </c>
      <c r="L321" s="32" t="s">
        <v>361</v>
      </c>
      <c r="M321" s="32"/>
      <c r="N321" s="32" t="s">
        <v>359</v>
      </c>
      <c r="O321" s="33">
        <v>43962.475543981483</v>
      </c>
      <c r="P321" s="32" t="s">
        <v>358</v>
      </c>
      <c r="Q321" s="32" t="s">
        <v>357</v>
      </c>
      <c r="R321" s="32"/>
      <c r="S321" s="32">
        <f>Table_query__44[[#This Row],[Grant Received]]*0.95</f>
        <v>6008.9263105949994</v>
      </c>
      <c r="T321" s="32"/>
      <c r="U321" s="32">
        <f>Table_query__44[[#This Row],[Grant Received]]*0.9</f>
        <v>5692.6670310899999</v>
      </c>
      <c r="V321" s="32"/>
      <c r="W321" s="32">
        <f>Table_query__44[[#This Row],[Grant Received]]*0.8</f>
        <v>5060.1484720799999</v>
      </c>
      <c r="X321" s="32"/>
    </row>
    <row r="322" spans="1:24">
      <c r="A322" s="31" t="str">
        <f>LEFT(Table_query__44[[#This Row],[Title]],(FIND(" ",Table_query__44[[#This Row],[Title]],1)-1))</f>
        <v>SPC</v>
      </c>
      <c r="B322" s="32" t="s">
        <v>378</v>
      </c>
      <c r="C322" s="32" t="s">
        <v>73</v>
      </c>
      <c r="D322" s="34">
        <v>120</v>
      </c>
      <c r="E322" s="34">
        <v>45</v>
      </c>
      <c r="F322" s="32" t="s">
        <v>378</v>
      </c>
      <c r="G322" s="34">
        <v>31603</v>
      </c>
      <c r="H322" s="34">
        <v>19180</v>
      </c>
      <c r="I322" s="34">
        <v>13640.7</v>
      </c>
      <c r="J322" s="34">
        <v>13640.7</v>
      </c>
      <c r="K322" s="36">
        <v>10298</v>
      </c>
      <c r="L322" s="32" t="s">
        <v>361</v>
      </c>
      <c r="M322" s="32"/>
      <c r="N322" s="32" t="s">
        <v>359</v>
      </c>
      <c r="O322" s="33">
        <v>43962.446956018517</v>
      </c>
      <c r="P322" s="32" t="s">
        <v>358</v>
      </c>
      <c r="Q322" s="32" t="s">
        <v>357</v>
      </c>
      <c r="R322" s="32"/>
      <c r="S322" s="32">
        <f>Table_query__44[[#This Row],[Grant Received]]*0.95</f>
        <v>9783.1</v>
      </c>
      <c r="T322" s="32"/>
      <c r="U322" s="32">
        <f>Table_query__44[[#This Row],[Grant Received]]*0.9</f>
        <v>9268.2000000000007</v>
      </c>
      <c r="V322" s="32"/>
      <c r="W322" s="32">
        <f>Table_query__44[[#This Row],[Grant Received]]*0.8</f>
        <v>8238.4</v>
      </c>
      <c r="X322" s="32"/>
    </row>
    <row r="323" spans="1:24">
      <c r="A323" s="31" t="str">
        <f>LEFT(Table_query__44[[#This Row],[Title]],(FIND(" ",Table_query__44[[#This Row],[Title]],1)-1))</f>
        <v>SPC</v>
      </c>
      <c r="B323" s="32" t="s">
        <v>378</v>
      </c>
      <c r="C323" s="32" t="s">
        <v>72</v>
      </c>
      <c r="D323" s="34">
        <v>40</v>
      </c>
      <c r="E323" s="34">
        <v>30</v>
      </c>
      <c r="F323" s="32" t="s">
        <v>378</v>
      </c>
      <c r="G323" s="34">
        <v>13845.5</v>
      </c>
      <c r="H323" s="34">
        <v>9808</v>
      </c>
      <c r="I323" s="34">
        <v>2955</v>
      </c>
      <c r="J323" s="34">
        <v>2955</v>
      </c>
      <c r="K323" s="36">
        <v>2955</v>
      </c>
      <c r="L323" s="32" t="s">
        <v>361</v>
      </c>
      <c r="M323" s="32"/>
      <c r="N323" s="32" t="s">
        <v>359</v>
      </c>
      <c r="O323" s="33">
        <v>43894.964722222219</v>
      </c>
      <c r="P323" s="32" t="s">
        <v>358</v>
      </c>
      <c r="Q323" s="32" t="s">
        <v>357</v>
      </c>
      <c r="R323" s="32"/>
      <c r="S323" s="32">
        <f>Table_query__44[[#This Row],[Grant Received]]*0.95</f>
        <v>2807.25</v>
      </c>
      <c r="T323" s="32"/>
      <c r="U323" s="32">
        <f>Table_query__44[[#This Row],[Grant Received]]*0.9</f>
        <v>2659.5</v>
      </c>
      <c r="V323" s="32"/>
      <c r="W323" s="32">
        <f>Table_query__44[[#This Row],[Grant Received]]*0.8</f>
        <v>2364</v>
      </c>
      <c r="X323" s="32"/>
    </row>
    <row r="324" spans="1:24">
      <c r="A324" s="31" t="str">
        <f>LEFT(Table_query__44[[#This Row],[Title]],(FIND(" ",Table_query__44[[#This Row],[Title]],1)-1))</f>
        <v>SPC</v>
      </c>
      <c r="B324" s="32" t="s">
        <v>378</v>
      </c>
      <c r="C324" s="32" t="s">
        <v>71</v>
      </c>
      <c r="D324" s="34">
        <v>50</v>
      </c>
      <c r="E324" s="34">
        <v>30</v>
      </c>
      <c r="F324" s="32" t="s">
        <v>378</v>
      </c>
      <c r="G324" s="34">
        <v>10883</v>
      </c>
      <c r="H324" s="34">
        <v>6194</v>
      </c>
      <c r="I324" s="34">
        <v>3110</v>
      </c>
      <c r="J324" s="34">
        <v>3010</v>
      </c>
      <c r="K324" s="36">
        <v>2584.7510000000002</v>
      </c>
      <c r="L324" s="32" t="s">
        <v>361</v>
      </c>
      <c r="M324" s="32"/>
      <c r="N324" s="32" t="s">
        <v>359</v>
      </c>
      <c r="O324" s="33">
        <v>43962.436527777776</v>
      </c>
      <c r="P324" s="32" t="s">
        <v>358</v>
      </c>
      <c r="Q324" s="32" t="s">
        <v>357</v>
      </c>
      <c r="R324" s="32"/>
      <c r="S324" s="32">
        <f>Table_query__44[[#This Row],[Grant Received]]*0.95</f>
        <v>2455.5134499999999</v>
      </c>
      <c r="T324" s="32"/>
      <c r="U324" s="32">
        <f>Table_query__44[[#This Row],[Grant Received]]*0.9</f>
        <v>2326.2759000000001</v>
      </c>
      <c r="V324" s="32"/>
      <c r="W324" s="32">
        <f>Table_query__44[[#This Row],[Grant Received]]*0.8</f>
        <v>2067.8008000000004</v>
      </c>
      <c r="X324" s="32"/>
    </row>
    <row r="325" spans="1:24">
      <c r="A325" s="31" t="str">
        <f>LEFT(Table_query__44[[#This Row],[Title]],(FIND(" ",Table_query__44[[#This Row],[Title]],1)-1))</f>
        <v>SPC</v>
      </c>
      <c r="B325" s="32" t="s">
        <v>378</v>
      </c>
      <c r="C325" s="32" t="s">
        <v>70</v>
      </c>
      <c r="D325" s="34">
        <v>15</v>
      </c>
      <c r="E325" s="34">
        <v>20</v>
      </c>
      <c r="F325" s="32" t="s">
        <v>378</v>
      </c>
      <c r="G325" s="34">
        <v>2457.2800000000002</v>
      </c>
      <c r="H325" s="34">
        <v>1880</v>
      </c>
      <c r="I325" s="34">
        <v>800</v>
      </c>
      <c r="J325" s="34">
        <v>800</v>
      </c>
      <c r="K325" s="36">
        <v>475</v>
      </c>
      <c r="L325" s="32" t="s">
        <v>361</v>
      </c>
      <c r="M325" s="32"/>
      <c r="N325" s="32" t="s">
        <v>359</v>
      </c>
      <c r="O325" s="33">
        <v>43896.890185185184</v>
      </c>
      <c r="P325" s="32" t="s">
        <v>358</v>
      </c>
      <c r="Q325" s="32" t="s">
        <v>357</v>
      </c>
      <c r="R325" s="32"/>
      <c r="S325" s="32">
        <f>Table_query__44[[#This Row],[Grant Received]]*0.95</f>
        <v>451.25</v>
      </c>
      <c r="T325" s="32"/>
      <c r="U325" s="32">
        <f>Table_query__44[[#This Row],[Grant Received]]*0.9</f>
        <v>427.5</v>
      </c>
      <c r="V325" s="32"/>
      <c r="W325" s="32">
        <f>Table_query__44[[#This Row],[Grant Received]]*0.8</f>
        <v>380</v>
      </c>
      <c r="X325" s="32"/>
    </row>
    <row r="326" spans="1:24">
      <c r="A326" s="31" t="str">
        <f>LEFT(Table_query__44[[#This Row],[Title]],(FIND(" ",Table_query__44[[#This Row],[Title]],1)-1))</f>
        <v>SPC</v>
      </c>
      <c r="B326" s="32" t="s">
        <v>378</v>
      </c>
      <c r="C326" s="32" t="s">
        <v>69</v>
      </c>
      <c r="D326" s="34">
        <v>50</v>
      </c>
      <c r="E326" s="34">
        <v>45</v>
      </c>
      <c r="F326" s="32" t="s">
        <v>378</v>
      </c>
      <c r="G326" s="34">
        <v>8772</v>
      </c>
      <c r="H326" s="34">
        <v>3469</v>
      </c>
      <c r="I326" s="34">
        <v>4442</v>
      </c>
      <c r="J326" s="34">
        <v>3416</v>
      </c>
      <c r="K326" s="36">
        <v>1813.6</v>
      </c>
      <c r="L326" s="32" t="s">
        <v>361</v>
      </c>
      <c r="M326" s="32"/>
      <c r="N326" s="32" t="s">
        <v>359</v>
      </c>
      <c r="O326" s="33">
        <v>43896.890486111108</v>
      </c>
      <c r="P326" s="32" t="s">
        <v>358</v>
      </c>
      <c r="Q326" s="32" t="s">
        <v>357</v>
      </c>
      <c r="R326" s="32"/>
      <c r="S326" s="32">
        <f>Table_query__44[[#This Row],[Grant Received]]*0.95</f>
        <v>1722.9199999999998</v>
      </c>
      <c r="T326" s="32"/>
      <c r="U326" s="32">
        <f>Table_query__44[[#This Row],[Grant Received]]*0.9</f>
        <v>1632.24</v>
      </c>
      <c r="V326" s="32"/>
      <c r="W326" s="32">
        <f>Table_query__44[[#This Row],[Grant Received]]*0.8</f>
        <v>1450.88</v>
      </c>
      <c r="X326" s="32"/>
    </row>
    <row r="327" spans="1:24">
      <c r="A327" s="31" t="str">
        <f>LEFT(Table_query__44[[#This Row],[Title]],(FIND(" ",Table_query__44[[#This Row],[Title]],1)-1))</f>
        <v>SPC</v>
      </c>
      <c r="B327" s="32" t="s">
        <v>378</v>
      </c>
      <c r="C327" s="32" t="s">
        <v>68</v>
      </c>
      <c r="D327" s="34">
        <v>45</v>
      </c>
      <c r="E327" s="34">
        <v>25</v>
      </c>
      <c r="F327" s="32" t="s">
        <v>378</v>
      </c>
      <c r="G327" s="34">
        <v>38131.879999999997</v>
      </c>
      <c r="H327" s="34">
        <v>28458.2</v>
      </c>
      <c r="I327" s="34">
        <v>11184</v>
      </c>
      <c r="J327" s="34">
        <v>10955</v>
      </c>
      <c r="K327" s="36">
        <v>7457</v>
      </c>
      <c r="L327" s="32" t="s">
        <v>361</v>
      </c>
      <c r="M327" s="32"/>
      <c r="N327" s="32" t="s">
        <v>359</v>
      </c>
      <c r="O327" s="33">
        <v>43962.441412037035</v>
      </c>
      <c r="P327" s="32" t="s">
        <v>358</v>
      </c>
      <c r="Q327" s="32" t="s">
        <v>357</v>
      </c>
      <c r="R327" s="32"/>
      <c r="S327" s="32">
        <f>Table_query__44[[#This Row],[Grant Received]]*0.95</f>
        <v>7084.15</v>
      </c>
      <c r="T327" s="32"/>
      <c r="U327" s="32">
        <f>Table_query__44[[#This Row],[Grant Received]]*0.9</f>
        <v>6711.3</v>
      </c>
      <c r="V327" s="32"/>
      <c r="W327" s="32">
        <f>Table_query__44[[#This Row],[Grant Received]]*0.8</f>
        <v>5965.6</v>
      </c>
      <c r="X327" s="32"/>
    </row>
    <row r="328" spans="1:24">
      <c r="A328" s="31" t="str">
        <f>LEFT(Table_query__44[[#This Row],[Title]],(FIND(" ",Table_query__44[[#This Row],[Title]],1)-1))</f>
        <v>SPC</v>
      </c>
      <c r="B328" s="32" t="s">
        <v>378</v>
      </c>
      <c r="C328" s="32" t="s">
        <v>67</v>
      </c>
      <c r="D328" s="34">
        <v>90</v>
      </c>
      <c r="E328" s="34">
        <v>42</v>
      </c>
      <c r="F328" s="32" t="s">
        <v>378</v>
      </c>
      <c r="G328" s="34">
        <v>12779.715</v>
      </c>
      <c r="H328" s="34">
        <v>6552</v>
      </c>
      <c r="I328" s="34">
        <v>4935</v>
      </c>
      <c r="J328" s="34">
        <v>4920</v>
      </c>
      <c r="K328" s="36">
        <v>3200</v>
      </c>
      <c r="L328" s="32" t="s">
        <v>361</v>
      </c>
      <c r="M328" s="32"/>
      <c r="N328" s="32" t="s">
        <v>359</v>
      </c>
      <c r="O328" s="33">
        <v>43962.425833333335</v>
      </c>
      <c r="P328" s="32" t="s">
        <v>358</v>
      </c>
      <c r="Q328" s="32" t="s">
        <v>357</v>
      </c>
      <c r="R328" s="32"/>
      <c r="S328" s="32">
        <f>Table_query__44[[#This Row],[Grant Received]]*0.95</f>
        <v>3040</v>
      </c>
      <c r="T328" s="32"/>
      <c r="U328" s="32">
        <f>Table_query__44[[#This Row],[Grant Received]]*0.9</f>
        <v>2880</v>
      </c>
      <c r="V328" s="32"/>
      <c r="W328" s="32">
        <f>Table_query__44[[#This Row],[Grant Received]]*0.8</f>
        <v>2560</v>
      </c>
      <c r="X328" s="32"/>
    </row>
    <row r="329" spans="1:24">
      <c r="A329" s="31" t="str">
        <f>LEFT(Table_query__44[[#This Row],[Title]],(FIND(" ",Table_query__44[[#This Row],[Title]],1)-1))</f>
        <v>SPC</v>
      </c>
      <c r="B329" s="32" t="s">
        <v>378</v>
      </c>
      <c r="C329" s="32" t="s">
        <v>66</v>
      </c>
      <c r="D329" s="34">
        <v>115</v>
      </c>
      <c r="E329" s="34">
        <v>80</v>
      </c>
      <c r="F329" s="32" t="s">
        <v>378</v>
      </c>
      <c r="G329" s="34">
        <v>48207.224999999999</v>
      </c>
      <c r="H329" s="34">
        <v>27972</v>
      </c>
      <c r="I329" s="34">
        <v>13530.66</v>
      </c>
      <c r="J329" s="34">
        <v>13405.66</v>
      </c>
      <c r="K329" s="36">
        <v>10908.8128</v>
      </c>
      <c r="L329" s="32" t="s">
        <v>361</v>
      </c>
      <c r="M329" s="32"/>
      <c r="N329" s="32" t="s">
        <v>359</v>
      </c>
      <c r="O329" s="33">
        <v>43896.89099537037</v>
      </c>
      <c r="P329" s="32" t="s">
        <v>358</v>
      </c>
      <c r="Q329" s="32" t="s">
        <v>357</v>
      </c>
      <c r="R329" s="32"/>
      <c r="S329" s="32">
        <f>Table_query__44[[#This Row],[Grant Received]]*0.95</f>
        <v>10363.372159999999</v>
      </c>
      <c r="T329" s="32"/>
      <c r="U329" s="32">
        <f>Table_query__44[[#This Row],[Grant Received]]*0.9</f>
        <v>9817.9315200000001</v>
      </c>
      <c r="V329" s="32"/>
      <c r="W329" s="32">
        <f>Table_query__44[[#This Row],[Grant Received]]*0.8</f>
        <v>8727.0502400000005</v>
      </c>
      <c r="X329" s="32"/>
    </row>
    <row r="330" spans="1:24">
      <c r="A330" s="31" t="str">
        <f>LEFT(Table_query__44[[#This Row],[Title]],(FIND(" ",Table_query__44[[#This Row],[Title]],1)-1))</f>
        <v>SPC</v>
      </c>
      <c r="B330" s="32" t="s">
        <v>378</v>
      </c>
      <c r="C330" s="32" t="s">
        <v>65</v>
      </c>
      <c r="D330" s="34">
        <v>20</v>
      </c>
      <c r="E330" s="34">
        <v>7</v>
      </c>
      <c r="F330" s="32" t="s">
        <v>378</v>
      </c>
      <c r="G330" s="34">
        <v>6346.6</v>
      </c>
      <c r="H330" s="34">
        <v>2889</v>
      </c>
      <c r="I330" s="34">
        <v>3515</v>
      </c>
      <c r="J330" s="34">
        <v>3515</v>
      </c>
      <c r="K330" s="36">
        <v>2740.7</v>
      </c>
      <c r="L330" s="32" t="s">
        <v>361</v>
      </c>
      <c r="M330" s="32"/>
      <c r="N330" s="32" t="s">
        <v>359</v>
      </c>
      <c r="O330" s="33">
        <v>43895.673020833332</v>
      </c>
      <c r="P330" s="32" t="s">
        <v>358</v>
      </c>
      <c r="Q330" s="32" t="s">
        <v>357</v>
      </c>
      <c r="R330" s="32"/>
      <c r="S330" s="32">
        <f>Table_query__44[[#This Row],[Grant Received]]*0.95</f>
        <v>2603.6649999999995</v>
      </c>
      <c r="T330" s="32"/>
      <c r="U330" s="32">
        <f>Table_query__44[[#This Row],[Grant Received]]*0.9</f>
        <v>2466.63</v>
      </c>
      <c r="V330" s="32"/>
      <c r="W330" s="32">
        <f>Table_query__44[[#This Row],[Grant Received]]*0.8</f>
        <v>2192.56</v>
      </c>
      <c r="X330" s="32"/>
    </row>
    <row r="331" spans="1:24">
      <c r="A331" s="31" t="str">
        <f>LEFT(Table_query__44[[#This Row],[Title]],(FIND(" ",Table_query__44[[#This Row],[Title]],1)-1))</f>
        <v>SPF</v>
      </c>
      <c r="B331" s="32" t="s">
        <v>377</v>
      </c>
      <c r="C331" s="32" t="s">
        <v>64</v>
      </c>
      <c r="D331" s="34">
        <v>135</v>
      </c>
      <c r="E331" s="34">
        <v>65</v>
      </c>
      <c r="F331" s="32" t="s">
        <v>377</v>
      </c>
      <c r="G331" s="34">
        <v>63247</v>
      </c>
      <c r="H331" s="34">
        <v>50017</v>
      </c>
      <c r="I331" s="34">
        <v>11303</v>
      </c>
      <c r="J331" s="34">
        <v>10303</v>
      </c>
      <c r="K331" s="36">
        <v>6207.7060000000001</v>
      </c>
      <c r="L331" s="32" t="s">
        <v>361</v>
      </c>
      <c r="M331" s="32"/>
      <c r="N331" s="32" t="s">
        <v>359</v>
      </c>
      <c r="O331" s="33">
        <v>43901.768969907411</v>
      </c>
      <c r="P331" s="32" t="s">
        <v>358</v>
      </c>
      <c r="Q331" s="32" t="s">
        <v>357</v>
      </c>
      <c r="R331" s="32"/>
      <c r="S331" s="32">
        <f>Table_query__44[[#This Row],[Grant Received]]*0.95</f>
        <v>5897.3207000000002</v>
      </c>
      <c r="T331" s="32"/>
      <c r="U331" s="32">
        <f>Table_query__44[[#This Row],[Grant Received]]*0.9</f>
        <v>5586.9354000000003</v>
      </c>
      <c r="V331" s="32"/>
      <c r="W331" s="32">
        <f>Table_query__44[[#This Row],[Grant Received]]*0.8</f>
        <v>4966.1648000000005</v>
      </c>
      <c r="X331" s="32"/>
    </row>
    <row r="332" spans="1:24">
      <c r="A332" s="31" t="str">
        <f>LEFT(Table_query__44[[#This Row],[Title]],(FIND(" ",Table_query__44[[#This Row],[Title]],1)-1))</f>
        <v>SPF</v>
      </c>
      <c r="B332" s="32" t="s">
        <v>377</v>
      </c>
      <c r="C332" s="32" t="s">
        <v>63</v>
      </c>
      <c r="D332" s="34">
        <v>80</v>
      </c>
      <c r="E332" s="34">
        <v>80</v>
      </c>
      <c r="F332" s="32" t="s">
        <v>377</v>
      </c>
      <c r="G332" s="34">
        <v>32994</v>
      </c>
      <c r="H332" s="34">
        <v>13016</v>
      </c>
      <c r="I332" s="34">
        <v>14791</v>
      </c>
      <c r="J332" s="34">
        <v>14791</v>
      </c>
      <c r="K332" s="36">
        <v>10400.313969999999</v>
      </c>
      <c r="L332" s="32" t="s">
        <v>361</v>
      </c>
      <c r="M332" s="32"/>
      <c r="N332" s="32" t="s">
        <v>359</v>
      </c>
      <c r="O332" s="33">
        <v>43901.769652777781</v>
      </c>
      <c r="P332" s="32" t="s">
        <v>358</v>
      </c>
      <c r="Q332" s="32" t="s">
        <v>357</v>
      </c>
      <c r="R332" s="32"/>
      <c r="S332" s="32">
        <f>Table_query__44[[#This Row],[Grant Received]]*0.95</f>
        <v>9880.298271499998</v>
      </c>
      <c r="T332" s="32"/>
      <c r="U332" s="32">
        <f>Table_query__44[[#This Row],[Grant Received]]*0.9</f>
        <v>9360.2825730000004</v>
      </c>
      <c r="V332" s="32"/>
      <c r="W332" s="32">
        <f>Table_query__44[[#This Row],[Grant Received]]*0.8</f>
        <v>8320.2511759999998</v>
      </c>
      <c r="X332" s="32"/>
    </row>
    <row r="333" spans="1:24">
      <c r="A333" s="31" t="str">
        <f>LEFT(Table_query__44[[#This Row],[Title]],(FIND(" ",Table_query__44[[#This Row],[Title]],1)-1))</f>
        <v>SPF</v>
      </c>
      <c r="B333" s="32" t="s">
        <v>377</v>
      </c>
      <c r="C333" s="32" t="s">
        <v>62</v>
      </c>
      <c r="D333" s="34">
        <v>57</v>
      </c>
      <c r="E333" s="34">
        <v>95</v>
      </c>
      <c r="F333" s="32" t="s">
        <v>377</v>
      </c>
      <c r="G333" s="34">
        <v>33725.79</v>
      </c>
      <c r="H333" s="34">
        <v>23532.16</v>
      </c>
      <c r="I333" s="34">
        <v>5475.5</v>
      </c>
      <c r="J333" s="34">
        <v>5390.5</v>
      </c>
      <c r="K333" s="36">
        <v>4288.0967000000001</v>
      </c>
      <c r="L333" s="32" t="s">
        <v>361</v>
      </c>
      <c r="M333" s="32"/>
      <c r="N333" s="32" t="s">
        <v>359</v>
      </c>
      <c r="O333" s="33">
        <v>43901.774189814816</v>
      </c>
      <c r="P333" s="32" t="s">
        <v>358</v>
      </c>
      <c r="Q333" s="32" t="s">
        <v>357</v>
      </c>
      <c r="R333" s="32"/>
      <c r="S333" s="32">
        <f>Table_query__44[[#This Row],[Grant Received]]*0.95</f>
        <v>4073.6918649999998</v>
      </c>
      <c r="T333" s="32"/>
      <c r="U333" s="32">
        <f>Table_query__44[[#This Row],[Grant Received]]*0.9</f>
        <v>3859.28703</v>
      </c>
      <c r="V333" s="32"/>
      <c r="W333" s="32">
        <f>Table_query__44[[#This Row],[Grant Received]]*0.8</f>
        <v>3430.4773600000003</v>
      </c>
      <c r="X333" s="32"/>
    </row>
    <row r="334" spans="1:24">
      <c r="A334" s="31" t="str">
        <f>LEFT(Table_query__44[[#This Row],[Title]],(FIND(" ",Table_query__44[[#This Row],[Title]],1)-1))</f>
        <v>SPF</v>
      </c>
      <c r="B334" s="32" t="s">
        <v>377</v>
      </c>
      <c r="C334" s="32" t="s">
        <v>61</v>
      </c>
      <c r="D334" s="34">
        <v>23</v>
      </c>
      <c r="E334" s="34">
        <v>60</v>
      </c>
      <c r="F334" s="32" t="s">
        <v>377</v>
      </c>
      <c r="G334" s="34">
        <v>10134.89</v>
      </c>
      <c r="H334" s="34">
        <v>6228.2</v>
      </c>
      <c r="I334" s="34">
        <v>3170</v>
      </c>
      <c r="J334" s="34">
        <v>2850</v>
      </c>
      <c r="K334" s="36">
        <v>2166</v>
      </c>
      <c r="L334" s="32" t="s">
        <v>361</v>
      </c>
      <c r="M334" s="32"/>
      <c r="N334" s="32" t="s">
        <v>359</v>
      </c>
      <c r="O334" s="33">
        <v>43894.939328703702</v>
      </c>
      <c r="P334" s="32" t="s">
        <v>358</v>
      </c>
      <c r="Q334" s="32" t="s">
        <v>357</v>
      </c>
      <c r="R334" s="32"/>
      <c r="S334" s="32">
        <f>Table_query__44[[#This Row],[Grant Received]]*0.95</f>
        <v>2057.6999999999998</v>
      </c>
      <c r="T334" s="32"/>
      <c r="U334" s="32">
        <f>Table_query__44[[#This Row],[Grant Received]]*0.9</f>
        <v>1949.4</v>
      </c>
      <c r="V334" s="32"/>
      <c r="W334" s="32">
        <f>Table_query__44[[#This Row],[Grant Received]]*0.8</f>
        <v>1732.8000000000002</v>
      </c>
      <c r="X334" s="32"/>
    </row>
    <row r="335" spans="1:24">
      <c r="A335" s="31" t="str">
        <f>LEFT(Table_query__44[[#This Row],[Title]],(FIND(" ",Table_query__44[[#This Row],[Title]],1)-1))</f>
        <v>SPF</v>
      </c>
      <c r="B335" s="32" t="s">
        <v>377</v>
      </c>
      <c r="C335" s="32" t="s">
        <v>60</v>
      </c>
      <c r="D335" s="34">
        <v>50</v>
      </c>
      <c r="E335" s="34">
        <v>80</v>
      </c>
      <c r="F335" s="32" t="s">
        <v>377</v>
      </c>
      <c r="G335" s="34">
        <v>19906.13</v>
      </c>
      <c r="H335" s="34">
        <v>12970</v>
      </c>
      <c r="I335" s="34">
        <v>4335</v>
      </c>
      <c r="J335" s="34">
        <v>3765</v>
      </c>
      <c r="K335" s="36">
        <v>2793.6570000000002</v>
      </c>
      <c r="L335" s="32" t="s">
        <v>361</v>
      </c>
      <c r="M335" s="32"/>
      <c r="N335" s="32" t="s">
        <v>359</v>
      </c>
      <c r="O335" s="33">
        <v>43901.774571759262</v>
      </c>
      <c r="P335" s="32" t="s">
        <v>358</v>
      </c>
      <c r="Q335" s="32" t="s">
        <v>357</v>
      </c>
      <c r="R335" s="32"/>
      <c r="S335" s="32">
        <f>Table_query__44[[#This Row],[Grant Received]]*0.95</f>
        <v>2653.97415</v>
      </c>
      <c r="T335" s="32"/>
      <c r="U335" s="32">
        <f>Table_query__44[[#This Row],[Grant Received]]*0.9</f>
        <v>2514.2913000000003</v>
      </c>
      <c r="V335" s="32"/>
      <c r="W335" s="32">
        <f>Table_query__44[[#This Row],[Grant Received]]*0.8</f>
        <v>2234.9256</v>
      </c>
      <c r="X335" s="32"/>
    </row>
    <row r="336" spans="1:24">
      <c r="A336" s="31" t="str">
        <f>LEFT(Table_query__44[[#This Row],[Title]],(FIND(" ",Table_query__44[[#This Row],[Title]],1)-1))</f>
        <v>SPF</v>
      </c>
      <c r="B336" s="32" t="s">
        <v>377</v>
      </c>
      <c r="C336" s="32" t="s">
        <v>59</v>
      </c>
      <c r="D336" s="34">
        <v>39</v>
      </c>
      <c r="E336" s="34">
        <v>27</v>
      </c>
      <c r="F336" s="32" t="s">
        <v>377</v>
      </c>
      <c r="G336" s="34">
        <v>2782.75</v>
      </c>
      <c r="H336" s="34">
        <v>966</v>
      </c>
      <c r="I336" s="34">
        <v>915</v>
      </c>
      <c r="J336" s="34">
        <v>915</v>
      </c>
      <c r="K336" s="36">
        <v>915</v>
      </c>
      <c r="L336" s="32" t="s">
        <v>361</v>
      </c>
      <c r="M336" s="32"/>
      <c r="N336" s="32" t="s">
        <v>359</v>
      </c>
      <c r="O336" s="33">
        <v>43894.946712962963</v>
      </c>
      <c r="P336" s="32" t="s">
        <v>358</v>
      </c>
      <c r="Q336" s="32" t="s">
        <v>357</v>
      </c>
      <c r="R336" s="32"/>
      <c r="S336" s="32">
        <f>Table_query__44[[#This Row],[Grant Received]]*0.95</f>
        <v>869.25</v>
      </c>
      <c r="T336" s="32"/>
      <c r="U336" s="32">
        <f>Table_query__44[[#This Row],[Grant Received]]*0.9</f>
        <v>823.5</v>
      </c>
      <c r="V336" s="32"/>
      <c r="W336" s="32">
        <f>Table_query__44[[#This Row],[Grant Received]]*0.8</f>
        <v>732</v>
      </c>
      <c r="X336" s="32"/>
    </row>
    <row r="337" spans="1:24">
      <c r="A337" s="31" t="str">
        <f>LEFT(Table_query__44[[#This Row],[Title]],(FIND(" ",Table_query__44[[#This Row],[Title]],1)-1))</f>
        <v>SPF</v>
      </c>
      <c r="B337" s="32" t="s">
        <v>377</v>
      </c>
      <c r="C337" s="32" t="s">
        <v>58</v>
      </c>
      <c r="D337" s="34">
        <v>45</v>
      </c>
      <c r="E337" s="34">
        <v>40</v>
      </c>
      <c r="F337" s="32" t="s">
        <v>377</v>
      </c>
      <c r="G337" s="34">
        <v>7794.33</v>
      </c>
      <c r="H337" s="34">
        <v>2895</v>
      </c>
      <c r="I337" s="34">
        <v>3195</v>
      </c>
      <c r="J337" s="34">
        <v>3195</v>
      </c>
      <c r="K337" s="36">
        <v>3064.6439999999998</v>
      </c>
      <c r="L337" s="32" t="s">
        <v>361</v>
      </c>
      <c r="M337" s="32"/>
      <c r="N337" s="32" t="s">
        <v>359</v>
      </c>
      <c r="O337" s="33">
        <v>43901.774907407409</v>
      </c>
      <c r="P337" s="32" t="s">
        <v>358</v>
      </c>
      <c r="Q337" s="32" t="s">
        <v>357</v>
      </c>
      <c r="R337" s="32"/>
      <c r="S337" s="32">
        <f>Table_query__44[[#This Row],[Grant Received]]*0.95</f>
        <v>2911.4117999999999</v>
      </c>
      <c r="T337" s="32"/>
      <c r="U337" s="32">
        <f>Table_query__44[[#This Row],[Grant Received]]*0.9</f>
        <v>2758.1795999999999</v>
      </c>
      <c r="V337" s="32"/>
      <c r="W337" s="32">
        <f>Table_query__44[[#This Row],[Grant Received]]*0.8</f>
        <v>2451.7152000000001</v>
      </c>
      <c r="X337" s="32"/>
    </row>
    <row r="338" spans="1:24">
      <c r="A338" s="31" t="str">
        <f>LEFT(Table_query__44[[#This Row],[Title]],(FIND(" ",Table_query__44[[#This Row],[Title]],1)-1))</f>
        <v>SPF</v>
      </c>
      <c r="B338" s="32" t="s">
        <v>377</v>
      </c>
      <c r="C338" s="32" t="s">
        <v>57</v>
      </c>
      <c r="D338" s="34">
        <v>160</v>
      </c>
      <c r="E338" s="34">
        <v>60</v>
      </c>
      <c r="F338" s="32" t="s">
        <v>377</v>
      </c>
      <c r="G338" s="34">
        <v>63524.47</v>
      </c>
      <c r="H338" s="34">
        <v>42816.1</v>
      </c>
      <c r="I338" s="34">
        <v>13712.1</v>
      </c>
      <c r="J338" s="34">
        <v>13383.3</v>
      </c>
      <c r="K338" s="36">
        <v>9852.6216292000008</v>
      </c>
      <c r="L338" s="32" t="s">
        <v>361</v>
      </c>
      <c r="M338" s="32"/>
      <c r="N338" s="32" t="s">
        <v>359</v>
      </c>
      <c r="O338" s="33">
        <v>43901.775266203702</v>
      </c>
      <c r="P338" s="32" t="s">
        <v>358</v>
      </c>
      <c r="Q338" s="32" t="s">
        <v>357</v>
      </c>
      <c r="R338" s="32"/>
      <c r="S338" s="32">
        <f>Table_query__44[[#This Row],[Grant Received]]*0.95</f>
        <v>9359.9905477400007</v>
      </c>
      <c r="T338" s="32"/>
      <c r="U338" s="32">
        <f>Table_query__44[[#This Row],[Grant Received]]*0.9</f>
        <v>8867.3594662800006</v>
      </c>
      <c r="V338" s="32"/>
      <c r="W338" s="32">
        <f>Table_query__44[[#This Row],[Grant Received]]*0.8</f>
        <v>7882.0973033600012</v>
      </c>
      <c r="X338" s="32"/>
    </row>
    <row r="339" spans="1:24">
      <c r="A339" s="31" t="str">
        <f>LEFT(Table_query__44[[#This Row],[Title]],(FIND(" ",Table_query__44[[#This Row],[Title]],1)-1))</f>
        <v>SPF</v>
      </c>
      <c r="B339" s="32" t="s">
        <v>377</v>
      </c>
      <c r="C339" s="32" t="s">
        <v>55</v>
      </c>
      <c r="D339" s="34">
        <v>72</v>
      </c>
      <c r="E339" s="34">
        <v>32</v>
      </c>
      <c r="F339" s="32" t="s">
        <v>377</v>
      </c>
      <c r="G339" s="34">
        <v>13127.33</v>
      </c>
      <c r="H339" s="34">
        <v>8434</v>
      </c>
      <c r="I339" s="34">
        <v>3129.87</v>
      </c>
      <c r="J339" s="34">
        <v>2889.87</v>
      </c>
      <c r="K339" s="36">
        <v>2050.1326880000001</v>
      </c>
      <c r="L339" s="32" t="s">
        <v>501</v>
      </c>
      <c r="M339" s="32"/>
      <c r="N339" s="32" t="s">
        <v>359</v>
      </c>
      <c r="O339" s="33">
        <v>43965.033726851849</v>
      </c>
      <c r="P339" s="32" t="s">
        <v>358</v>
      </c>
      <c r="Q339" s="32" t="s">
        <v>357</v>
      </c>
      <c r="R339" s="32"/>
      <c r="S339" s="32">
        <f>Table_query__44[[#This Row],[Grant Received]]*0.95</f>
        <v>1947.6260536</v>
      </c>
      <c r="T339" s="32"/>
      <c r="U339" s="32">
        <f>Table_query__44[[#This Row],[Grant Received]]*0.9</f>
        <v>1845.1194192000003</v>
      </c>
      <c r="V339" s="32"/>
      <c r="W339" s="32">
        <f>Table_query__44[[#This Row],[Grant Received]]*0.8</f>
        <v>1640.1061504000002</v>
      </c>
      <c r="X339" s="32"/>
    </row>
    <row r="340" spans="1:24">
      <c r="A340" s="31" t="str">
        <f>LEFT(Table_query__44[[#This Row],[Title]],(FIND(" ",Table_query__44[[#This Row],[Title]],1)-1))</f>
        <v>SPF</v>
      </c>
      <c r="B340" s="32" t="s">
        <v>377</v>
      </c>
      <c r="C340" s="32" t="s">
        <v>54</v>
      </c>
      <c r="D340" s="34">
        <v>45</v>
      </c>
      <c r="E340" s="34">
        <v>40</v>
      </c>
      <c r="F340" s="32" t="s">
        <v>377</v>
      </c>
      <c r="G340" s="34">
        <v>10605.5</v>
      </c>
      <c r="H340" s="34">
        <v>6186.25</v>
      </c>
      <c r="I340" s="34">
        <v>3341.5</v>
      </c>
      <c r="J340" s="34">
        <v>3309</v>
      </c>
      <c r="K340" s="36">
        <v>1934.3610000000001</v>
      </c>
      <c r="L340" s="32" t="s">
        <v>361</v>
      </c>
      <c r="M340" s="32"/>
      <c r="N340" s="32" t="s">
        <v>359</v>
      </c>
      <c r="O340" s="33">
        <v>43901.775613425925</v>
      </c>
      <c r="P340" s="32" t="s">
        <v>358</v>
      </c>
      <c r="Q340" s="32" t="s">
        <v>357</v>
      </c>
      <c r="R340" s="32"/>
      <c r="S340" s="32">
        <f>Table_query__44[[#This Row],[Grant Received]]*0.95</f>
        <v>1837.6429499999999</v>
      </c>
      <c r="T340" s="32"/>
      <c r="U340" s="32">
        <f>Table_query__44[[#This Row],[Grant Received]]*0.9</f>
        <v>1740.9249000000002</v>
      </c>
      <c r="V340" s="32"/>
      <c r="W340" s="32">
        <f>Table_query__44[[#This Row],[Grant Received]]*0.8</f>
        <v>1547.4888000000001</v>
      </c>
      <c r="X340" s="32"/>
    </row>
    <row r="341" spans="1:24">
      <c r="A341" s="31" t="str">
        <f>LEFT(Table_query__44[[#This Row],[Title]],(FIND(" ",Table_query__44[[#This Row],[Title]],1)-1))</f>
        <v>SPF</v>
      </c>
      <c r="B341" s="32" t="s">
        <v>377</v>
      </c>
      <c r="C341" s="32" t="s">
        <v>53</v>
      </c>
      <c r="D341" s="34">
        <v>30</v>
      </c>
      <c r="E341" s="34">
        <v>25</v>
      </c>
      <c r="F341" s="32" t="s">
        <v>377</v>
      </c>
      <c r="G341" s="34">
        <v>32292</v>
      </c>
      <c r="H341" s="34">
        <v>26152</v>
      </c>
      <c r="I341" s="34">
        <v>5100</v>
      </c>
      <c r="J341" s="34">
        <v>5100</v>
      </c>
      <c r="K341" s="36">
        <v>2206.9575</v>
      </c>
      <c r="L341" s="32" t="s">
        <v>361</v>
      </c>
      <c r="M341" s="32"/>
      <c r="N341" s="32" t="s">
        <v>359</v>
      </c>
      <c r="O341" s="33">
        <v>43901.77615740741</v>
      </c>
      <c r="P341" s="32" t="s">
        <v>358</v>
      </c>
      <c r="Q341" s="32" t="s">
        <v>357</v>
      </c>
      <c r="R341" s="32"/>
      <c r="S341" s="32">
        <f>Table_query__44[[#This Row],[Grant Received]]*0.95</f>
        <v>2096.6096250000001</v>
      </c>
      <c r="T341" s="32"/>
      <c r="U341" s="32">
        <f>Table_query__44[[#This Row],[Grant Received]]*0.9</f>
        <v>1986.2617500000001</v>
      </c>
      <c r="V341" s="32"/>
      <c r="W341" s="32">
        <f>Table_query__44[[#This Row],[Grant Received]]*0.8</f>
        <v>1765.566</v>
      </c>
      <c r="X341" s="32"/>
    </row>
    <row r="342" spans="1:24">
      <c r="A342" s="31" t="str">
        <f>LEFT(Table_query__44[[#This Row],[Title]],(FIND(" ",Table_query__44[[#This Row],[Title]],1)-1))</f>
        <v>SPI</v>
      </c>
      <c r="B342" s="32" t="s">
        <v>375</v>
      </c>
      <c r="C342" s="32" t="s">
        <v>52</v>
      </c>
      <c r="D342" s="34">
        <v>35</v>
      </c>
      <c r="E342" s="34">
        <v>25</v>
      </c>
      <c r="F342" s="32" t="s">
        <v>375</v>
      </c>
      <c r="G342" s="34">
        <v>12522.5</v>
      </c>
      <c r="H342" s="34">
        <v>7220</v>
      </c>
      <c r="I342" s="34">
        <v>5117.5</v>
      </c>
      <c r="J342" s="34">
        <v>4642.5</v>
      </c>
      <c r="K342" s="36">
        <v>3710.25</v>
      </c>
      <c r="L342" s="32" t="s">
        <v>361</v>
      </c>
      <c r="M342" s="32"/>
      <c r="N342" s="32" t="s">
        <v>359</v>
      </c>
      <c r="O342" s="33">
        <v>43896.893136574072</v>
      </c>
      <c r="P342" s="32" t="s">
        <v>358</v>
      </c>
      <c r="Q342" s="32" t="s">
        <v>357</v>
      </c>
      <c r="R342" s="32"/>
      <c r="S342" s="32">
        <f>Table_query__44[[#This Row],[Grant Received]]*0.95</f>
        <v>3524.7374999999997</v>
      </c>
      <c r="T342" s="32"/>
      <c r="U342" s="32">
        <f>Table_query__44[[#This Row],[Grant Received]]*0.9</f>
        <v>3339.2249999999999</v>
      </c>
      <c r="V342" s="32"/>
      <c r="W342" s="32">
        <f>Table_query__44[[#This Row],[Grant Received]]*0.8</f>
        <v>2968.2000000000003</v>
      </c>
      <c r="X342" s="32"/>
    </row>
    <row r="343" spans="1:24">
      <c r="A343" s="31" t="str">
        <f>LEFT(Table_query__44[[#This Row],[Title]],(FIND(" ",Table_query__44[[#This Row],[Title]],1)-1))</f>
        <v>SPI</v>
      </c>
      <c r="B343" s="32" t="s">
        <v>375</v>
      </c>
      <c r="C343" s="32" t="s">
        <v>51</v>
      </c>
      <c r="D343" s="34">
        <v>185</v>
      </c>
      <c r="E343" s="34">
        <v>45</v>
      </c>
      <c r="F343" s="32" t="s">
        <v>375</v>
      </c>
      <c r="G343" s="34">
        <v>27644.94</v>
      </c>
      <c r="H343" s="34">
        <v>11173</v>
      </c>
      <c r="I343" s="34">
        <v>8760</v>
      </c>
      <c r="J343" s="34">
        <v>8510</v>
      </c>
      <c r="K343" s="36">
        <v>7245.4</v>
      </c>
      <c r="L343" s="32" t="s">
        <v>361</v>
      </c>
      <c r="M343" s="32"/>
      <c r="N343" s="32" t="s">
        <v>359</v>
      </c>
      <c r="O343" s="33">
        <v>43896.893425925926</v>
      </c>
      <c r="P343" s="32" t="s">
        <v>358</v>
      </c>
      <c r="Q343" s="32" t="s">
        <v>357</v>
      </c>
      <c r="R343" s="32"/>
      <c r="S343" s="32">
        <f>Table_query__44[[#This Row],[Grant Received]]*0.95</f>
        <v>6883.1299999999992</v>
      </c>
      <c r="T343" s="32"/>
      <c r="U343" s="32">
        <f>Table_query__44[[#This Row],[Grant Received]]*0.9</f>
        <v>6520.86</v>
      </c>
      <c r="V343" s="32"/>
      <c r="W343" s="32">
        <f>Table_query__44[[#This Row],[Grant Received]]*0.8</f>
        <v>5796.32</v>
      </c>
      <c r="X343" s="32"/>
    </row>
    <row r="344" spans="1:24">
      <c r="A344" s="31" t="str">
        <f>LEFT(Table_query__44[[#This Row],[Title]],(FIND(" ",Table_query__44[[#This Row],[Title]],1)-1))</f>
        <v>SPI</v>
      </c>
      <c r="B344" s="32" t="s">
        <v>375</v>
      </c>
      <c r="C344" s="32" t="s">
        <v>50</v>
      </c>
      <c r="D344" s="34">
        <v>80</v>
      </c>
      <c r="E344" s="34">
        <v>25</v>
      </c>
      <c r="F344" s="32" t="s">
        <v>375</v>
      </c>
      <c r="G344" s="34">
        <v>5013</v>
      </c>
      <c r="H344" s="34">
        <v>2220</v>
      </c>
      <c r="I344" s="34">
        <v>4663</v>
      </c>
      <c r="J344" s="34">
        <v>4313</v>
      </c>
      <c r="K344" s="36">
        <v>631.21199999999999</v>
      </c>
      <c r="L344" s="32" t="s">
        <v>361</v>
      </c>
      <c r="M344" s="32"/>
      <c r="N344" s="32" t="s">
        <v>359</v>
      </c>
      <c r="O344" s="33">
        <v>43902.680162037039</v>
      </c>
      <c r="P344" s="32" t="s">
        <v>358</v>
      </c>
      <c r="Q344" s="32" t="s">
        <v>357</v>
      </c>
      <c r="R344" s="32"/>
      <c r="S344" s="32">
        <f>Table_query__44[[#This Row],[Grant Received]]*0.95</f>
        <v>599.65139999999997</v>
      </c>
      <c r="T344" s="32"/>
      <c r="U344" s="32">
        <f>Table_query__44[[#This Row],[Grant Received]]*0.9</f>
        <v>568.09080000000006</v>
      </c>
      <c r="V344" s="32"/>
      <c r="W344" s="32">
        <f>Table_query__44[[#This Row],[Grant Received]]*0.8</f>
        <v>504.96960000000001</v>
      </c>
      <c r="X344" s="32"/>
    </row>
    <row r="345" spans="1:24">
      <c r="A345" s="31" t="str">
        <f>LEFT(Table_query__44[[#This Row],[Title]],(FIND(" ",Table_query__44[[#This Row],[Title]],1)-1))</f>
        <v>SPI</v>
      </c>
      <c r="B345" s="32" t="s">
        <v>375</v>
      </c>
      <c r="C345" s="32" t="s">
        <v>49</v>
      </c>
      <c r="D345" s="34">
        <v>80</v>
      </c>
      <c r="E345" s="34">
        <v>50</v>
      </c>
      <c r="F345" s="32" t="s">
        <v>375</v>
      </c>
      <c r="G345" s="34">
        <v>10678.165000000001</v>
      </c>
      <c r="H345" s="34">
        <v>2925.55</v>
      </c>
      <c r="I345" s="34">
        <v>3981</v>
      </c>
      <c r="J345" s="34">
        <v>3981</v>
      </c>
      <c r="K345" s="36">
        <v>3927.6545999999998</v>
      </c>
      <c r="L345" s="32" t="s">
        <v>361</v>
      </c>
      <c r="M345" s="32"/>
      <c r="N345" s="32" t="s">
        <v>359</v>
      </c>
      <c r="O345" s="33">
        <v>43901.777025462965</v>
      </c>
      <c r="P345" s="32" t="s">
        <v>358</v>
      </c>
      <c r="Q345" s="32" t="s">
        <v>357</v>
      </c>
      <c r="R345" s="32"/>
      <c r="S345" s="32">
        <f>Table_query__44[[#This Row],[Grant Received]]*0.95</f>
        <v>3731.2718699999996</v>
      </c>
      <c r="T345" s="32"/>
      <c r="U345" s="32">
        <f>Table_query__44[[#This Row],[Grant Received]]*0.9</f>
        <v>3534.8891399999998</v>
      </c>
      <c r="V345" s="32"/>
      <c r="W345" s="32">
        <f>Table_query__44[[#This Row],[Grant Received]]*0.8</f>
        <v>3142.1236800000001</v>
      </c>
      <c r="X345" s="32"/>
    </row>
    <row r="346" spans="1:24">
      <c r="A346" s="31" t="str">
        <f>LEFT(Table_query__44[[#This Row],[Title]],(FIND(" ",Table_query__44[[#This Row],[Title]],1)-1))</f>
        <v>SPI</v>
      </c>
      <c r="B346" s="32" t="s">
        <v>375</v>
      </c>
      <c r="C346" s="32" t="s">
        <v>48</v>
      </c>
      <c r="D346" s="34">
        <v>180</v>
      </c>
      <c r="E346" s="34">
        <v>55</v>
      </c>
      <c r="F346" s="32" t="s">
        <v>375</v>
      </c>
      <c r="G346" s="34">
        <v>21245.89</v>
      </c>
      <c r="H346" s="34">
        <v>6170</v>
      </c>
      <c r="I346" s="34">
        <v>5800</v>
      </c>
      <c r="J346" s="34">
        <v>5800</v>
      </c>
      <c r="K346" s="36">
        <v>5800</v>
      </c>
      <c r="L346" s="32" t="s">
        <v>361</v>
      </c>
      <c r="M346" s="32"/>
      <c r="N346" s="32" t="s">
        <v>359</v>
      </c>
      <c r="O346" s="33">
        <v>43896.894212962965</v>
      </c>
      <c r="P346" s="32" t="s">
        <v>358</v>
      </c>
      <c r="Q346" s="32" t="s">
        <v>357</v>
      </c>
      <c r="R346" s="32"/>
      <c r="S346" s="32">
        <f>Table_query__44[[#This Row],[Grant Received]]*0.95</f>
        <v>5510</v>
      </c>
      <c r="T346" s="32"/>
      <c r="U346" s="32">
        <f>Table_query__44[[#This Row],[Grant Received]]*0.9</f>
        <v>5220</v>
      </c>
      <c r="V346" s="32"/>
      <c r="W346" s="32">
        <f>Table_query__44[[#This Row],[Grant Received]]*0.8</f>
        <v>4640</v>
      </c>
      <c r="X346" s="32"/>
    </row>
    <row r="347" spans="1:24">
      <c r="A347" s="31" t="str">
        <f>LEFT(Table_query__44[[#This Row],[Title]],(FIND(" ",Table_query__44[[#This Row],[Title]],1)-1))</f>
        <v>SPI</v>
      </c>
      <c r="B347" s="32" t="s">
        <v>375</v>
      </c>
      <c r="C347" s="32" t="s">
        <v>47</v>
      </c>
      <c r="D347" s="34">
        <v>75</v>
      </c>
      <c r="E347" s="34">
        <v>5</v>
      </c>
      <c r="F347" s="32" t="s">
        <v>375</v>
      </c>
      <c r="G347" s="34">
        <v>8530</v>
      </c>
      <c r="H347" s="34">
        <v>6481</v>
      </c>
      <c r="I347" s="34">
        <v>1795</v>
      </c>
      <c r="J347" s="34">
        <v>1795</v>
      </c>
      <c r="K347" s="36">
        <v>1860.5174999999999</v>
      </c>
      <c r="L347" s="32" t="s">
        <v>361</v>
      </c>
      <c r="M347" s="32"/>
      <c r="N347" s="32" t="s">
        <v>359</v>
      </c>
      <c r="O347" s="33">
        <v>43901.778043981481</v>
      </c>
      <c r="P347" s="32" t="s">
        <v>358</v>
      </c>
      <c r="Q347" s="32" t="s">
        <v>357</v>
      </c>
      <c r="R347" s="32"/>
      <c r="S347" s="32">
        <f>Table_query__44[[#This Row],[Grant Received]]*0.95</f>
        <v>1767.4916249999999</v>
      </c>
      <c r="T347" s="32"/>
      <c r="U347" s="32">
        <f>Table_query__44[[#This Row],[Grant Received]]*0.9</f>
        <v>1674.4657500000001</v>
      </c>
      <c r="V347" s="32"/>
      <c r="W347" s="32">
        <f>Table_query__44[[#This Row],[Grant Received]]*0.8</f>
        <v>1488.414</v>
      </c>
      <c r="X347" s="32"/>
    </row>
    <row r="348" spans="1:24">
      <c r="A348" s="31" t="str">
        <f>LEFT(Table_query__44[[#This Row],[Title]],(FIND(" ",Table_query__44[[#This Row],[Title]],1)-1))</f>
        <v>SPI</v>
      </c>
      <c r="B348" s="32" t="s">
        <v>375</v>
      </c>
      <c r="C348" s="32" t="s">
        <v>46</v>
      </c>
      <c r="D348" s="34">
        <v>90</v>
      </c>
      <c r="E348" s="34">
        <v>90</v>
      </c>
      <c r="F348" s="32" t="s">
        <v>375</v>
      </c>
      <c r="G348" s="34">
        <v>89816</v>
      </c>
      <c r="H348" s="34">
        <v>73231.8</v>
      </c>
      <c r="I348" s="34">
        <v>12629</v>
      </c>
      <c r="J348" s="34">
        <v>12629</v>
      </c>
      <c r="K348" s="36">
        <v>9093.5</v>
      </c>
      <c r="L348" s="32" t="s">
        <v>361</v>
      </c>
      <c r="M348" s="32"/>
      <c r="N348" s="32" t="s">
        <v>359</v>
      </c>
      <c r="O348" s="33">
        <v>43896.894803240742</v>
      </c>
      <c r="P348" s="32" t="s">
        <v>358</v>
      </c>
      <c r="Q348" s="32" t="s">
        <v>357</v>
      </c>
      <c r="R348" s="32"/>
      <c r="S348" s="32">
        <f>Table_query__44[[#This Row],[Grant Received]]*0.95</f>
        <v>8638.8249999999989</v>
      </c>
      <c r="T348" s="32"/>
      <c r="U348" s="32">
        <f>Table_query__44[[#This Row],[Grant Received]]*0.9</f>
        <v>8184.1500000000005</v>
      </c>
      <c r="V348" s="32"/>
      <c r="W348" s="32">
        <f>Table_query__44[[#This Row],[Grant Received]]*0.8</f>
        <v>7274.8</v>
      </c>
      <c r="X348" s="32"/>
    </row>
    <row r="349" spans="1:24">
      <c r="A349" s="31" t="str">
        <f>LEFT(Table_query__44[[#This Row],[Title]],(FIND(" ",Table_query__44[[#This Row],[Title]],1)-1))</f>
        <v>SPI</v>
      </c>
      <c r="B349" s="32" t="s">
        <v>375</v>
      </c>
      <c r="C349" s="32" t="s">
        <v>45</v>
      </c>
      <c r="D349" s="34">
        <v>180</v>
      </c>
      <c r="E349" s="34">
        <v>25</v>
      </c>
      <c r="F349" s="32" t="s">
        <v>375</v>
      </c>
      <c r="G349" s="34">
        <v>31585.3</v>
      </c>
      <c r="H349" s="34">
        <v>22256</v>
      </c>
      <c r="I349" s="34">
        <v>5000</v>
      </c>
      <c r="J349" s="34">
        <v>4880</v>
      </c>
      <c r="K349" s="36">
        <v>4528.5625</v>
      </c>
      <c r="L349" s="32" t="s">
        <v>361</v>
      </c>
      <c r="M349" s="32"/>
      <c r="N349" s="32" t="s">
        <v>359</v>
      </c>
      <c r="O349" s="33">
        <v>43901.77857638889</v>
      </c>
      <c r="P349" s="32" t="s">
        <v>358</v>
      </c>
      <c r="Q349" s="32" t="s">
        <v>357</v>
      </c>
      <c r="R349" s="32"/>
      <c r="S349" s="32">
        <f>Table_query__44[[#This Row],[Grant Received]]*0.95</f>
        <v>4302.1343749999996</v>
      </c>
      <c r="T349" s="32"/>
      <c r="U349" s="32">
        <f>Table_query__44[[#This Row],[Grant Received]]*0.9</f>
        <v>4075.7062500000002</v>
      </c>
      <c r="V349" s="32"/>
      <c r="W349" s="32">
        <f>Table_query__44[[#This Row],[Grant Received]]*0.8</f>
        <v>3622.8500000000004</v>
      </c>
      <c r="X349" s="32"/>
    </row>
    <row r="350" spans="1:24">
      <c r="A350" s="31" t="str">
        <f>LEFT(Table_query__44[[#This Row],[Title]],(FIND(" ",Table_query__44[[#This Row],[Title]],1)-1))</f>
        <v>SPI</v>
      </c>
      <c r="B350" s="32" t="s">
        <v>375</v>
      </c>
      <c r="C350" s="32" t="s">
        <v>44</v>
      </c>
      <c r="D350" s="34">
        <v>35</v>
      </c>
      <c r="E350" s="34">
        <v>20</v>
      </c>
      <c r="F350" s="32" t="s">
        <v>375</v>
      </c>
      <c r="G350" s="34">
        <v>11824.25</v>
      </c>
      <c r="H350" s="34">
        <v>10734</v>
      </c>
      <c r="I350" s="34">
        <v>801.75</v>
      </c>
      <c r="J350" s="34">
        <v>701.75</v>
      </c>
      <c r="K350" s="36">
        <v>365.75228475</v>
      </c>
      <c r="L350" s="32" t="s">
        <v>361</v>
      </c>
      <c r="M350" s="32"/>
      <c r="N350" s="32" t="s">
        <v>359</v>
      </c>
      <c r="O350" s="33">
        <v>43901.77925925926</v>
      </c>
      <c r="P350" s="32" t="s">
        <v>358</v>
      </c>
      <c r="Q350" s="32" t="s">
        <v>357</v>
      </c>
      <c r="R350" s="32"/>
      <c r="S350" s="32">
        <f>Table_query__44[[#This Row],[Grant Received]]*0.95</f>
        <v>347.46467051249999</v>
      </c>
      <c r="T350" s="32"/>
      <c r="U350" s="32">
        <f>Table_query__44[[#This Row],[Grant Received]]*0.9</f>
        <v>329.17705627499998</v>
      </c>
      <c r="V350" s="32"/>
      <c r="W350" s="32">
        <f>Table_query__44[[#This Row],[Grant Received]]*0.8</f>
        <v>292.60182780000002</v>
      </c>
      <c r="X350" s="32"/>
    </row>
    <row r="351" spans="1:24">
      <c r="A351" s="31" t="str">
        <f>LEFT(Table_query__44[[#This Row],[Title]],(FIND(" ",Table_query__44[[#This Row],[Title]],1)-1))</f>
        <v>SPI</v>
      </c>
      <c r="B351" s="32" t="s">
        <v>375</v>
      </c>
      <c r="C351" s="32" t="s">
        <v>43</v>
      </c>
      <c r="D351" s="34">
        <v>95</v>
      </c>
      <c r="E351" s="34">
        <v>38</v>
      </c>
      <c r="F351" s="32" t="s">
        <v>375</v>
      </c>
      <c r="G351" s="34">
        <v>24975.21</v>
      </c>
      <c r="H351" s="34">
        <v>12039.16</v>
      </c>
      <c r="I351" s="34">
        <v>9517</v>
      </c>
      <c r="J351" s="34">
        <v>9517</v>
      </c>
      <c r="K351" s="36">
        <v>7395.3549999999996</v>
      </c>
      <c r="L351" s="32" t="s">
        <v>361</v>
      </c>
      <c r="M351" s="32"/>
      <c r="N351" s="32" t="s">
        <v>359</v>
      </c>
      <c r="O351" s="33">
        <v>43901.792592592596</v>
      </c>
      <c r="P351" s="32" t="s">
        <v>358</v>
      </c>
      <c r="Q351" s="32" t="s">
        <v>357</v>
      </c>
      <c r="R351" s="32"/>
      <c r="S351" s="32">
        <f>Table_query__44[[#This Row],[Grant Received]]*0.95</f>
        <v>7025.5872499999996</v>
      </c>
      <c r="T351" s="32"/>
      <c r="U351" s="32">
        <f>Table_query__44[[#This Row],[Grant Received]]*0.9</f>
        <v>6655.8194999999996</v>
      </c>
      <c r="V351" s="32"/>
      <c r="W351" s="32">
        <f>Table_query__44[[#This Row],[Grant Received]]*0.8</f>
        <v>5916.2839999999997</v>
      </c>
      <c r="X351" s="32"/>
    </row>
    <row r="352" spans="1:24">
      <c r="A352" s="31" t="str">
        <f>LEFT(Table_query__44[[#This Row],[Title]],(FIND(" ",Table_query__44[[#This Row],[Title]],1)-1))</f>
        <v>SPI</v>
      </c>
      <c r="B352" s="32" t="s">
        <v>375</v>
      </c>
      <c r="C352" s="32" t="s">
        <v>376</v>
      </c>
      <c r="D352" s="34">
        <v>40</v>
      </c>
      <c r="E352" s="34">
        <v>6</v>
      </c>
      <c r="F352" s="32" t="s">
        <v>375</v>
      </c>
      <c r="G352" s="34">
        <v>1020</v>
      </c>
      <c r="H352" s="34">
        <v>525</v>
      </c>
      <c r="I352" s="34">
        <v>375</v>
      </c>
      <c r="J352" s="34">
        <v>375</v>
      </c>
      <c r="K352" s="36">
        <v>300.75</v>
      </c>
      <c r="L352" s="32" t="s">
        <v>361</v>
      </c>
      <c r="M352" s="32"/>
      <c r="N352" s="32" t="s">
        <v>359</v>
      </c>
      <c r="O352" s="33">
        <v>43895.694120370368</v>
      </c>
      <c r="P352" s="32" t="s">
        <v>358</v>
      </c>
      <c r="Q352" s="32" t="s">
        <v>357</v>
      </c>
      <c r="R352" s="32"/>
      <c r="S352" s="32">
        <f>Table_query__44[[#This Row],[Grant Received]]*0.95</f>
        <v>285.71249999999998</v>
      </c>
      <c r="T352" s="32"/>
      <c r="U352" s="32">
        <f>Table_query__44[[#This Row],[Grant Received]]*0.9</f>
        <v>270.67500000000001</v>
      </c>
      <c r="V352" s="32"/>
      <c r="W352" s="32">
        <f>Table_query__44[[#This Row],[Grant Received]]*0.8</f>
        <v>240.60000000000002</v>
      </c>
      <c r="X352" s="32"/>
    </row>
    <row r="353" spans="1:24">
      <c r="A353" s="31" t="str">
        <f>LEFT(Table_query__44[[#This Row],[Title]],(FIND(" ",Table_query__44[[#This Row],[Title]],1)-1))</f>
        <v>SPI</v>
      </c>
      <c r="B353" s="32" t="s">
        <v>375</v>
      </c>
      <c r="C353" s="32" t="s">
        <v>41</v>
      </c>
      <c r="D353" s="34">
        <v>95</v>
      </c>
      <c r="E353" s="34">
        <v>15</v>
      </c>
      <c r="F353" s="32" t="s">
        <v>375</v>
      </c>
      <c r="G353" s="34">
        <v>20231.900000000001</v>
      </c>
      <c r="H353" s="34">
        <v>15400</v>
      </c>
      <c r="I353" s="34">
        <v>3785.5</v>
      </c>
      <c r="J353" s="34">
        <v>3585.5</v>
      </c>
      <c r="K353" s="36">
        <v>3515.5</v>
      </c>
      <c r="L353" s="32" t="s">
        <v>361</v>
      </c>
      <c r="M353" s="32"/>
      <c r="N353" s="32" t="s">
        <v>359</v>
      </c>
      <c r="O353" s="33">
        <v>43896.895578703705</v>
      </c>
      <c r="P353" s="32" t="s">
        <v>358</v>
      </c>
      <c r="Q353" s="32" t="s">
        <v>357</v>
      </c>
      <c r="R353" s="32"/>
      <c r="S353" s="32">
        <f>Table_query__44[[#This Row],[Grant Received]]*0.95</f>
        <v>3339.7249999999999</v>
      </c>
      <c r="T353" s="32"/>
      <c r="U353" s="32">
        <f>Table_query__44[[#This Row],[Grant Received]]*0.9</f>
        <v>3163.9500000000003</v>
      </c>
      <c r="V353" s="32"/>
      <c r="W353" s="32">
        <f>Table_query__44[[#This Row],[Grant Received]]*0.8</f>
        <v>2812.4</v>
      </c>
      <c r="X353" s="32"/>
    </row>
    <row r="354" spans="1:24">
      <c r="A354" s="31" t="str">
        <f>LEFT(Table_query__44[[#This Row],[Title]],(FIND(" ",Table_query__44[[#This Row],[Title]],1)-1))</f>
        <v>SPI</v>
      </c>
      <c r="B354" s="32" t="s">
        <v>375</v>
      </c>
      <c r="C354" s="32" t="s">
        <v>40</v>
      </c>
      <c r="D354" s="34">
        <v>52</v>
      </c>
      <c r="E354" s="34">
        <v>65</v>
      </c>
      <c r="F354" s="32" t="s">
        <v>375</v>
      </c>
      <c r="G354" s="34">
        <v>39454</v>
      </c>
      <c r="H354" s="34">
        <v>26863.599999999999</v>
      </c>
      <c r="I354" s="34">
        <v>10085</v>
      </c>
      <c r="J354" s="34">
        <v>9995</v>
      </c>
      <c r="K354" s="36">
        <v>7522.0454399999999</v>
      </c>
      <c r="L354" s="32" t="s">
        <v>361</v>
      </c>
      <c r="M354" s="32"/>
      <c r="N354" s="32" t="s">
        <v>359</v>
      </c>
      <c r="O354" s="33">
        <v>43901.779467592591</v>
      </c>
      <c r="P354" s="32" t="s">
        <v>358</v>
      </c>
      <c r="Q354" s="32" t="s">
        <v>357</v>
      </c>
      <c r="R354" s="32"/>
      <c r="S354" s="32">
        <f>Table_query__44[[#This Row],[Grant Received]]*0.95</f>
        <v>7145.9431679999998</v>
      </c>
      <c r="T354" s="32"/>
      <c r="U354" s="32">
        <f>Table_query__44[[#This Row],[Grant Received]]*0.9</f>
        <v>6769.8408959999997</v>
      </c>
      <c r="V354" s="32"/>
      <c r="W354" s="32">
        <f>Table_query__44[[#This Row],[Grant Received]]*0.8</f>
        <v>6017.6363520000004</v>
      </c>
      <c r="X354" s="32"/>
    </row>
    <row r="355" spans="1:24">
      <c r="A355" s="31" t="str">
        <f>LEFT(Table_query__44[[#This Row],[Title]],(FIND(" ",Table_query__44[[#This Row],[Title]],1)-1))</f>
        <v>SPI</v>
      </c>
      <c r="B355" s="32" t="s">
        <v>375</v>
      </c>
      <c r="C355" s="32" t="s">
        <v>39</v>
      </c>
      <c r="D355" s="34">
        <v>120</v>
      </c>
      <c r="E355" s="34">
        <v>20</v>
      </c>
      <c r="F355" s="32" t="s">
        <v>375</v>
      </c>
      <c r="G355" s="34">
        <v>33287.637999999999</v>
      </c>
      <c r="H355" s="34">
        <v>23263.279999999999</v>
      </c>
      <c r="I355" s="34">
        <v>8026.95</v>
      </c>
      <c r="J355" s="34">
        <v>7948.01</v>
      </c>
      <c r="K355" s="36">
        <v>6484.7879174999998</v>
      </c>
      <c r="L355" s="32" t="s">
        <v>361</v>
      </c>
      <c r="M355" s="32"/>
      <c r="N355" s="32" t="s">
        <v>359</v>
      </c>
      <c r="O355" s="33">
        <v>43901.793726851851</v>
      </c>
      <c r="P355" s="32" t="s">
        <v>358</v>
      </c>
      <c r="Q355" s="32" t="s">
        <v>357</v>
      </c>
      <c r="R355" s="32"/>
      <c r="S355" s="32">
        <f>Table_query__44[[#This Row],[Grant Received]]*0.95</f>
        <v>6160.5485216249999</v>
      </c>
      <c r="T355" s="32"/>
      <c r="U355" s="32">
        <f>Table_query__44[[#This Row],[Grant Received]]*0.9</f>
        <v>5836.30912575</v>
      </c>
      <c r="V355" s="32"/>
      <c r="W355" s="32">
        <f>Table_query__44[[#This Row],[Grant Received]]*0.8</f>
        <v>5187.8303340000002</v>
      </c>
      <c r="X355" s="32"/>
    </row>
    <row r="356" spans="1:24">
      <c r="A356" s="31" t="str">
        <f>LEFT(Table_query__44[[#This Row],[Title]],(FIND(" ",Table_query__44[[#This Row],[Title]],1)-1))</f>
        <v>SPI</v>
      </c>
      <c r="B356" s="32" t="s">
        <v>375</v>
      </c>
      <c r="C356" s="32" t="s">
        <v>38</v>
      </c>
      <c r="D356" s="34">
        <v>230</v>
      </c>
      <c r="E356" s="34">
        <v>20</v>
      </c>
      <c r="F356" s="32" t="s">
        <v>375</v>
      </c>
      <c r="G356" s="34">
        <v>17684.79</v>
      </c>
      <c r="H356" s="34">
        <v>11228.4</v>
      </c>
      <c r="I356" s="34">
        <v>7186</v>
      </c>
      <c r="J356" s="34">
        <v>6946</v>
      </c>
      <c r="K356" s="36">
        <v>3713.73675</v>
      </c>
      <c r="L356" s="32" t="s">
        <v>361</v>
      </c>
      <c r="M356" s="32"/>
      <c r="N356" s="32" t="s">
        <v>359</v>
      </c>
      <c r="O356" s="33">
        <v>43962.444131944445</v>
      </c>
      <c r="P356" s="32" t="s">
        <v>358</v>
      </c>
      <c r="Q356" s="32" t="s">
        <v>357</v>
      </c>
      <c r="R356" s="32"/>
      <c r="S356" s="32">
        <f>Table_query__44[[#This Row],[Grant Received]]*0.95</f>
        <v>3528.0499124999997</v>
      </c>
      <c r="T356" s="32"/>
      <c r="U356" s="32">
        <f>Table_query__44[[#This Row],[Grant Received]]*0.9</f>
        <v>3342.3630750000002</v>
      </c>
      <c r="V356" s="32"/>
      <c r="W356" s="32">
        <f>Table_query__44[[#This Row],[Grant Received]]*0.8</f>
        <v>2970.9894000000004</v>
      </c>
      <c r="X356" s="32"/>
    </row>
    <row r="357" spans="1:24">
      <c r="A357" s="31" t="str">
        <f>LEFT(Table_query__44[[#This Row],[Title]],(FIND(" ",Table_query__44[[#This Row],[Title]],1)-1))</f>
        <v>SPI</v>
      </c>
      <c r="B357" s="32" t="s">
        <v>375</v>
      </c>
      <c r="C357" s="32" t="s">
        <v>37</v>
      </c>
      <c r="D357" s="34">
        <v>90</v>
      </c>
      <c r="E357" s="34">
        <v>20</v>
      </c>
      <c r="F357" s="32" t="s">
        <v>375</v>
      </c>
      <c r="G357" s="34">
        <v>43174.5</v>
      </c>
      <c r="H357" s="34">
        <v>36625</v>
      </c>
      <c r="I357" s="34">
        <v>4892.5</v>
      </c>
      <c r="J357" s="34">
        <v>4892.5</v>
      </c>
      <c r="K357" s="36">
        <v>4745.8530000000001</v>
      </c>
      <c r="L357" s="32" t="s">
        <v>361</v>
      </c>
      <c r="M357" s="32"/>
      <c r="N357" s="32" t="s">
        <v>359</v>
      </c>
      <c r="O357" s="33">
        <v>43901.794479166667</v>
      </c>
      <c r="P357" s="32" t="s">
        <v>358</v>
      </c>
      <c r="Q357" s="32" t="s">
        <v>357</v>
      </c>
      <c r="R357" s="32"/>
      <c r="S357" s="32">
        <f>Table_query__44[[#This Row],[Grant Received]]*0.95</f>
        <v>4508.5603499999997</v>
      </c>
      <c r="T357" s="32"/>
      <c r="U357" s="32">
        <f>Table_query__44[[#This Row],[Grant Received]]*0.9</f>
        <v>4271.2677000000003</v>
      </c>
      <c r="V357" s="32"/>
      <c r="W357" s="32">
        <f>Table_query__44[[#This Row],[Grant Received]]*0.8</f>
        <v>3796.6824000000001</v>
      </c>
      <c r="X357" s="32"/>
    </row>
    <row r="358" spans="1:24">
      <c r="A358" s="31" t="str">
        <f>LEFT(Table_query__44[[#This Row],[Title]],(FIND(" ",Table_query__44[[#This Row],[Title]],1)-1))</f>
        <v>SPI</v>
      </c>
      <c r="B358" s="32" t="s">
        <v>375</v>
      </c>
      <c r="C358" s="32" t="s">
        <v>36</v>
      </c>
      <c r="D358" s="34">
        <v>80</v>
      </c>
      <c r="E358" s="34">
        <v>25</v>
      </c>
      <c r="F358" s="32" t="s">
        <v>375</v>
      </c>
      <c r="G358" s="34">
        <v>32079.39</v>
      </c>
      <c r="H358" s="34">
        <v>26298</v>
      </c>
      <c r="I358" s="34">
        <v>4075</v>
      </c>
      <c r="J358" s="34">
        <v>4075</v>
      </c>
      <c r="K358" s="36">
        <v>3330.7602000000002</v>
      </c>
      <c r="L358" s="32" t="s">
        <v>361</v>
      </c>
      <c r="M358" s="32"/>
      <c r="N358" s="32" t="s">
        <v>359</v>
      </c>
      <c r="O358" s="33">
        <v>43901.794930555552</v>
      </c>
      <c r="P358" s="32" t="s">
        <v>358</v>
      </c>
      <c r="Q358" s="32" t="s">
        <v>357</v>
      </c>
      <c r="R358" s="32"/>
      <c r="S358" s="32">
        <f>Table_query__44[[#This Row],[Grant Received]]*0.95</f>
        <v>3164.22219</v>
      </c>
      <c r="T358" s="32"/>
      <c r="U358" s="32">
        <f>Table_query__44[[#This Row],[Grant Received]]*0.9</f>
        <v>2997.6841800000002</v>
      </c>
      <c r="V358" s="32"/>
      <c r="W358" s="32">
        <f>Table_query__44[[#This Row],[Grant Received]]*0.8</f>
        <v>2664.6081600000002</v>
      </c>
      <c r="X358" s="32"/>
    </row>
    <row r="359" spans="1:24">
      <c r="A359" s="31" t="str">
        <f>LEFT(Table_query__44[[#This Row],[Title]],(FIND(" ",Table_query__44[[#This Row],[Title]],1)-1))</f>
        <v>SPI</v>
      </c>
      <c r="B359" s="32" t="s">
        <v>375</v>
      </c>
      <c r="C359" s="32" t="s">
        <v>35</v>
      </c>
      <c r="D359" s="34">
        <v>45</v>
      </c>
      <c r="E359" s="34">
        <v>12</v>
      </c>
      <c r="F359" s="32" t="s">
        <v>375</v>
      </c>
      <c r="G359" s="34">
        <v>8516</v>
      </c>
      <c r="H359" s="34">
        <v>5100</v>
      </c>
      <c r="I359" s="34">
        <v>2970</v>
      </c>
      <c r="J359" s="34">
        <v>2970</v>
      </c>
      <c r="K359" s="36">
        <v>1870.4</v>
      </c>
      <c r="L359" s="32" t="s">
        <v>361</v>
      </c>
      <c r="M359" s="32"/>
      <c r="N359" s="32" t="s">
        <v>359</v>
      </c>
      <c r="O359" s="33">
        <v>43896.896828703706</v>
      </c>
      <c r="P359" s="32" t="s">
        <v>358</v>
      </c>
      <c r="Q359" s="32" t="s">
        <v>357</v>
      </c>
      <c r="R359" s="32"/>
      <c r="S359" s="32">
        <f>Table_query__44[[#This Row],[Grant Received]]*0.95</f>
        <v>1776.88</v>
      </c>
      <c r="T359" s="32"/>
      <c r="U359" s="32">
        <f>Table_query__44[[#This Row],[Grant Received]]*0.9</f>
        <v>1683.3600000000001</v>
      </c>
      <c r="V359" s="32"/>
      <c r="W359" s="32">
        <f>Table_query__44[[#This Row],[Grant Received]]*0.8</f>
        <v>1496.3200000000002</v>
      </c>
      <c r="X359" s="32"/>
    </row>
    <row r="360" spans="1:24">
      <c r="A360" s="31" t="str">
        <f>LEFT(Table_query__44[[#This Row],[Title]],(FIND(" ",Table_query__44[[#This Row],[Title]],1)-1))</f>
        <v>SPI</v>
      </c>
      <c r="B360" s="32" t="s">
        <v>375</v>
      </c>
      <c r="C360" s="32" t="s">
        <v>34</v>
      </c>
      <c r="D360" s="34">
        <v>20</v>
      </c>
      <c r="E360" s="34">
        <v>25</v>
      </c>
      <c r="F360" s="32" t="s">
        <v>375</v>
      </c>
      <c r="G360" s="34">
        <v>6401.88</v>
      </c>
      <c r="H360" s="34">
        <v>3880</v>
      </c>
      <c r="I360" s="34">
        <v>2521.88</v>
      </c>
      <c r="J360" s="34">
        <v>2521.88</v>
      </c>
      <c r="K360" s="36">
        <v>1272.86159</v>
      </c>
      <c r="L360" s="32" t="s">
        <v>361</v>
      </c>
      <c r="M360" s="32"/>
      <c r="N360" s="32" t="s">
        <v>359</v>
      </c>
      <c r="O360" s="33">
        <v>43901.795381944445</v>
      </c>
      <c r="P360" s="32" t="s">
        <v>358</v>
      </c>
      <c r="Q360" s="32" t="s">
        <v>357</v>
      </c>
      <c r="R360" s="32"/>
      <c r="S360" s="32">
        <f>Table_query__44[[#This Row],[Grant Received]]*0.95</f>
        <v>1209.2185104999999</v>
      </c>
      <c r="T360" s="32"/>
      <c r="U360" s="32">
        <f>Table_query__44[[#This Row],[Grant Received]]*0.9</f>
        <v>1145.575431</v>
      </c>
      <c r="V360" s="32"/>
      <c r="W360" s="32">
        <f>Table_query__44[[#This Row],[Grant Received]]*0.8</f>
        <v>1018.289272</v>
      </c>
      <c r="X360" s="32"/>
    </row>
    <row r="361" spans="1:24">
      <c r="A361" s="31" t="str">
        <f>LEFT(Table_query__44[[#This Row],[Title]],(FIND(" ",Table_query__44[[#This Row],[Title]],1)-1))</f>
        <v>SPM</v>
      </c>
      <c r="B361" s="32" t="s">
        <v>373</v>
      </c>
      <c r="C361" s="32" t="s">
        <v>33</v>
      </c>
      <c r="D361" s="34">
        <v>20</v>
      </c>
      <c r="E361" s="34">
        <v>25</v>
      </c>
      <c r="F361" s="32" t="s">
        <v>373</v>
      </c>
      <c r="G361" s="34">
        <v>5178.5</v>
      </c>
      <c r="H361" s="34">
        <v>2757.5</v>
      </c>
      <c r="I361" s="34">
        <v>2100</v>
      </c>
      <c r="J361" s="34">
        <v>2100</v>
      </c>
      <c r="K361" s="36">
        <v>1847.952</v>
      </c>
      <c r="L361" s="32" t="s">
        <v>361</v>
      </c>
      <c r="M361" s="32"/>
      <c r="N361" s="32" t="s">
        <v>359</v>
      </c>
      <c r="O361" s="33">
        <v>43901.795798611114</v>
      </c>
      <c r="P361" s="32" t="s">
        <v>358</v>
      </c>
      <c r="Q361" s="32" t="s">
        <v>357</v>
      </c>
      <c r="R361" s="32"/>
      <c r="S361" s="32">
        <f>Table_query__44[[#This Row],[Grant Received]]*0.95</f>
        <v>1755.5544</v>
      </c>
      <c r="T361" s="32"/>
      <c r="U361" s="32">
        <f>Table_query__44[[#This Row],[Grant Received]]*0.9</f>
        <v>1663.1568</v>
      </c>
      <c r="V361" s="32"/>
      <c r="W361" s="32">
        <f>Table_query__44[[#This Row],[Grant Received]]*0.8</f>
        <v>1478.3616000000002</v>
      </c>
      <c r="X361" s="32"/>
    </row>
    <row r="362" spans="1:24">
      <c r="A362" s="31" t="str">
        <f>LEFT(Table_query__44[[#This Row],[Title]],(FIND(" ",Table_query__44[[#This Row],[Title]],1)-1))</f>
        <v>SPM</v>
      </c>
      <c r="B362" s="32" t="s">
        <v>373</v>
      </c>
      <c r="C362" s="32" t="s">
        <v>32</v>
      </c>
      <c r="D362" s="34">
        <v>120</v>
      </c>
      <c r="E362" s="34">
        <v>22</v>
      </c>
      <c r="F362" s="32" t="s">
        <v>373</v>
      </c>
      <c r="G362" s="34">
        <v>11348.98</v>
      </c>
      <c r="H362" s="34">
        <v>6888</v>
      </c>
      <c r="I362" s="34">
        <v>2000</v>
      </c>
      <c r="J362" s="34">
        <v>2000</v>
      </c>
      <c r="K362" s="36">
        <v>1793.3844999999999</v>
      </c>
      <c r="L362" s="32" t="s">
        <v>361</v>
      </c>
      <c r="M362" s="32"/>
      <c r="N362" s="32" t="s">
        <v>359</v>
      </c>
      <c r="O362" s="33">
        <v>43901.796157407407</v>
      </c>
      <c r="P362" s="32" t="s">
        <v>358</v>
      </c>
      <c r="Q362" s="32" t="s">
        <v>357</v>
      </c>
      <c r="R362" s="32"/>
      <c r="S362" s="32">
        <f>Table_query__44[[#This Row],[Grant Received]]*0.95</f>
        <v>1703.7152749999998</v>
      </c>
      <c r="T362" s="32"/>
      <c r="U362" s="32">
        <f>Table_query__44[[#This Row],[Grant Received]]*0.9</f>
        <v>1614.0460499999999</v>
      </c>
      <c r="V362" s="32"/>
      <c r="W362" s="32">
        <f>Table_query__44[[#This Row],[Grant Received]]*0.8</f>
        <v>1434.7076</v>
      </c>
      <c r="X362" s="32"/>
    </row>
    <row r="363" spans="1:24">
      <c r="A363" s="31" t="str">
        <f>LEFT(Table_query__44[[#This Row],[Title]],(FIND(" ",Table_query__44[[#This Row],[Title]],1)-1))</f>
        <v>SPM</v>
      </c>
      <c r="B363" s="32" t="s">
        <v>373</v>
      </c>
      <c r="C363" s="32" t="s">
        <v>31</v>
      </c>
      <c r="D363" s="34">
        <v>40</v>
      </c>
      <c r="E363" s="34">
        <v>32</v>
      </c>
      <c r="F363" s="32" t="s">
        <v>373</v>
      </c>
      <c r="G363" s="34">
        <v>6768.75</v>
      </c>
      <c r="H363" s="34">
        <v>2994.48</v>
      </c>
      <c r="I363" s="34">
        <v>2678.6</v>
      </c>
      <c r="J363" s="34">
        <v>2678.6</v>
      </c>
      <c r="K363" s="36">
        <v>2203.3523439999999</v>
      </c>
      <c r="L363" s="32" t="s">
        <v>361</v>
      </c>
      <c r="M363" s="32"/>
      <c r="N363" s="32" t="s">
        <v>359</v>
      </c>
      <c r="O363" s="33">
        <v>43901.796620370369</v>
      </c>
      <c r="P363" s="32" t="s">
        <v>358</v>
      </c>
      <c r="Q363" s="32" t="s">
        <v>357</v>
      </c>
      <c r="R363" s="32"/>
      <c r="S363" s="32">
        <f>Table_query__44[[#This Row],[Grant Received]]*0.95</f>
        <v>2093.1847267999997</v>
      </c>
      <c r="T363" s="32"/>
      <c r="U363" s="32">
        <f>Table_query__44[[#This Row],[Grant Received]]*0.9</f>
        <v>1983.0171095999999</v>
      </c>
      <c r="V363" s="32"/>
      <c r="W363" s="32">
        <f>Table_query__44[[#This Row],[Grant Received]]*0.8</f>
        <v>1762.6818751999999</v>
      </c>
      <c r="X363" s="32"/>
    </row>
    <row r="364" spans="1:24">
      <c r="A364" s="31" t="str">
        <f>LEFT(Table_query__44[[#This Row],[Title]],(FIND(" ",Table_query__44[[#This Row],[Title]],1)-1))</f>
        <v>SPM</v>
      </c>
      <c r="B364" s="32" t="s">
        <v>373</v>
      </c>
      <c r="C364" s="32" t="s">
        <v>30</v>
      </c>
      <c r="D364" s="34">
        <v>45</v>
      </c>
      <c r="E364" s="34">
        <v>5</v>
      </c>
      <c r="F364" s="32" t="s">
        <v>373</v>
      </c>
      <c r="G364" s="34">
        <v>7373</v>
      </c>
      <c r="H364" s="34">
        <v>6325.9</v>
      </c>
      <c r="I364" s="34">
        <v>1000</v>
      </c>
      <c r="J364" s="34">
        <v>1000</v>
      </c>
      <c r="K364" s="36">
        <v>950</v>
      </c>
      <c r="L364" s="32" t="s">
        <v>361</v>
      </c>
      <c r="M364" s="32"/>
      <c r="N364" s="32" t="s">
        <v>359</v>
      </c>
      <c r="O364" s="33">
        <v>43895.694178240738</v>
      </c>
      <c r="P364" s="32" t="s">
        <v>358</v>
      </c>
      <c r="Q364" s="32" t="s">
        <v>357</v>
      </c>
      <c r="R364" s="32"/>
      <c r="S364" s="32">
        <f>Table_query__44[[#This Row],[Grant Received]]*0.95</f>
        <v>902.5</v>
      </c>
      <c r="T364" s="32"/>
      <c r="U364" s="32">
        <f>Table_query__44[[#This Row],[Grant Received]]*0.9</f>
        <v>855</v>
      </c>
      <c r="V364" s="32"/>
      <c r="W364" s="32">
        <f>Table_query__44[[#This Row],[Grant Received]]*0.8</f>
        <v>760</v>
      </c>
      <c r="X364" s="32"/>
    </row>
    <row r="365" spans="1:24">
      <c r="A365" s="31" t="str">
        <f>LEFT(Table_query__44[[#This Row],[Title]],(FIND(" ",Table_query__44[[#This Row],[Title]],1)-1))</f>
        <v>SPM</v>
      </c>
      <c r="B365" s="32" t="s">
        <v>373</v>
      </c>
      <c r="C365" s="32" t="s">
        <v>29</v>
      </c>
      <c r="D365" s="34">
        <v>23</v>
      </c>
      <c r="E365" s="34">
        <v>20</v>
      </c>
      <c r="F365" s="32" t="s">
        <v>373</v>
      </c>
      <c r="G365" s="34">
        <v>7749</v>
      </c>
      <c r="H365" s="34">
        <v>5828</v>
      </c>
      <c r="I365" s="34">
        <v>1130</v>
      </c>
      <c r="J365" s="34">
        <v>1030</v>
      </c>
      <c r="K365" s="36">
        <v>947</v>
      </c>
      <c r="L365" s="32" t="s">
        <v>361</v>
      </c>
      <c r="M365" s="32"/>
      <c r="N365" s="32" t="s">
        <v>359</v>
      </c>
      <c r="O365" s="33">
        <v>43896.897951388892</v>
      </c>
      <c r="P365" s="32" t="s">
        <v>358</v>
      </c>
      <c r="Q365" s="32" t="s">
        <v>357</v>
      </c>
      <c r="R365" s="32"/>
      <c r="S365" s="32">
        <f>Table_query__44[[#This Row],[Grant Received]]*0.95</f>
        <v>899.65</v>
      </c>
      <c r="T365" s="32"/>
      <c r="U365" s="32">
        <f>Table_query__44[[#This Row],[Grant Received]]*0.9</f>
        <v>852.30000000000007</v>
      </c>
      <c r="V365" s="32"/>
      <c r="W365" s="32">
        <f>Table_query__44[[#This Row],[Grant Received]]*0.8</f>
        <v>757.6</v>
      </c>
      <c r="X365" s="32"/>
    </row>
    <row r="366" spans="1:24">
      <c r="A366" s="31" t="str">
        <f>LEFT(Table_query__44[[#This Row],[Title]],(FIND(" ",Table_query__44[[#This Row],[Title]],1)-1))</f>
        <v>SPM</v>
      </c>
      <c r="B366" s="32" t="s">
        <v>373</v>
      </c>
      <c r="C366" s="32" t="s">
        <v>28</v>
      </c>
      <c r="D366" s="34">
        <v>40</v>
      </c>
      <c r="E366" s="34">
        <v>12.5</v>
      </c>
      <c r="F366" s="32" t="s">
        <v>373</v>
      </c>
      <c r="G366" s="34">
        <v>9632.15</v>
      </c>
      <c r="H366" s="34">
        <v>8063.22</v>
      </c>
      <c r="I366" s="34">
        <v>1095</v>
      </c>
      <c r="J366" s="34">
        <v>525</v>
      </c>
      <c r="K366" s="36">
        <v>827.50750000000005</v>
      </c>
      <c r="L366" s="32" t="s">
        <v>361</v>
      </c>
      <c r="M366" s="32"/>
      <c r="N366" s="32" t="s">
        <v>359</v>
      </c>
      <c r="O366" s="33">
        <v>43901.797233796293</v>
      </c>
      <c r="P366" s="32" t="s">
        <v>358</v>
      </c>
      <c r="Q366" s="32" t="s">
        <v>357</v>
      </c>
      <c r="R366" s="32"/>
      <c r="S366" s="32">
        <f>Table_query__44[[#This Row],[Grant Received]]*0.95</f>
        <v>786.13212499999997</v>
      </c>
      <c r="T366" s="32"/>
      <c r="U366" s="32">
        <f>Table_query__44[[#This Row],[Grant Received]]*0.9</f>
        <v>744.75675000000001</v>
      </c>
      <c r="V366" s="32"/>
      <c r="W366" s="32">
        <f>Table_query__44[[#This Row],[Grant Received]]*0.8</f>
        <v>662.00600000000009</v>
      </c>
      <c r="X366" s="32"/>
    </row>
    <row r="367" spans="1:24">
      <c r="A367" s="31" t="str">
        <f>LEFT(Table_query__44[[#This Row],[Title]],(FIND(" ",Table_query__44[[#This Row],[Title]],1)-1))</f>
        <v>SPM</v>
      </c>
      <c r="B367" s="32" t="s">
        <v>373</v>
      </c>
      <c r="C367" s="32" t="s">
        <v>374</v>
      </c>
      <c r="D367" s="34"/>
      <c r="E367" s="34"/>
      <c r="F367" s="32" t="s">
        <v>373</v>
      </c>
      <c r="G367" s="34"/>
      <c r="H367" s="34"/>
      <c r="I367" s="34"/>
      <c r="J367" s="34"/>
      <c r="K367" s="36"/>
      <c r="L367" s="32" t="s">
        <v>361</v>
      </c>
      <c r="M367" s="32"/>
      <c r="N367" s="32" t="s">
        <v>359</v>
      </c>
      <c r="O367" s="33">
        <v>43894.932835648149</v>
      </c>
      <c r="P367" s="32" t="s">
        <v>358</v>
      </c>
      <c r="Q367" s="32" t="s">
        <v>357</v>
      </c>
      <c r="R367" s="32"/>
      <c r="S367" s="32">
        <f>Table_query__44[[#This Row],[Grant Received]]*0.95</f>
        <v>0</v>
      </c>
      <c r="T367" s="32"/>
      <c r="U367" s="32">
        <f>Table_query__44[[#This Row],[Grant Received]]*0.9</f>
        <v>0</v>
      </c>
      <c r="V367" s="32"/>
      <c r="W367" s="32">
        <f>Table_query__44[[#This Row],[Grant Received]]*0.8</f>
        <v>0</v>
      </c>
      <c r="X367" s="32"/>
    </row>
    <row r="368" spans="1:24">
      <c r="A368" s="31" t="str">
        <f>LEFT(Table_query__44[[#This Row],[Title]],(FIND(" ",Table_query__44[[#This Row],[Title]],1)-1))</f>
        <v>SPM</v>
      </c>
      <c r="B368" s="32" t="s">
        <v>373</v>
      </c>
      <c r="C368" s="32" t="s">
        <v>27</v>
      </c>
      <c r="D368" s="34">
        <v>48</v>
      </c>
      <c r="E368" s="34">
        <v>15</v>
      </c>
      <c r="F368" s="32" t="s">
        <v>373</v>
      </c>
      <c r="G368" s="34">
        <v>3884</v>
      </c>
      <c r="H368" s="34">
        <v>3241</v>
      </c>
      <c r="I368" s="34">
        <v>0</v>
      </c>
      <c r="J368" s="34"/>
      <c r="K368" s="36"/>
      <c r="L368" s="32" t="s">
        <v>361</v>
      </c>
      <c r="M368" s="32"/>
      <c r="N368" s="32" t="s">
        <v>359</v>
      </c>
      <c r="O368" s="33">
        <v>43895.693993055553</v>
      </c>
      <c r="P368" s="32" t="s">
        <v>358</v>
      </c>
      <c r="Q368" s="32" t="s">
        <v>357</v>
      </c>
      <c r="R368" s="32"/>
      <c r="S368" s="32">
        <f>Table_query__44[[#This Row],[Grant Received]]*0.95</f>
        <v>0</v>
      </c>
      <c r="T368" s="32"/>
      <c r="U368" s="32">
        <f>Table_query__44[[#This Row],[Grant Received]]*0.9</f>
        <v>0</v>
      </c>
      <c r="V368" s="32"/>
      <c r="W368" s="32">
        <f>Table_query__44[[#This Row],[Grant Received]]*0.8</f>
        <v>0</v>
      </c>
      <c r="X368" s="32"/>
    </row>
    <row r="369" spans="1:24">
      <c r="A369" s="31" t="str">
        <f>LEFT(Table_query__44[[#This Row],[Title]],(FIND(" ",Table_query__44[[#This Row],[Title]],1)-1))</f>
        <v>SPM</v>
      </c>
      <c r="B369" s="32" t="s">
        <v>373</v>
      </c>
      <c r="C369" s="32" t="s">
        <v>26</v>
      </c>
      <c r="D369" s="34">
        <v>10</v>
      </c>
      <c r="E369" s="34">
        <v>10</v>
      </c>
      <c r="F369" s="32" t="s">
        <v>373</v>
      </c>
      <c r="G369" s="34">
        <v>2050</v>
      </c>
      <c r="H369" s="34">
        <v>1780</v>
      </c>
      <c r="I369" s="34">
        <v>400</v>
      </c>
      <c r="J369" s="34">
        <v>400</v>
      </c>
      <c r="K369" s="36">
        <v>360</v>
      </c>
      <c r="L369" s="32" t="s">
        <v>361</v>
      </c>
      <c r="M369" s="32"/>
      <c r="N369" s="32" t="s">
        <v>359</v>
      </c>
      <c r="O369" s="33">
        <v>43895.693958333337</v>
      </c>
      <c r="P369" s="32" t="s">
        <v>358</v>
      </c>
      <c r="Q369" s="32" t="s">
        <v>357</v>
      </c>
      <c r="R369" s="32"/>
      <c r="S369" s="32">
        <f>Table_query__44[[#This Row],[Grant Received]]*0.95</f>
        <v>342</v>
      </c>
      <c r="T369" s="32"/>
      <c r="U369" s="32">
        <f>Table_query__44[[#This Row],[Grant Received]]*0.9</f>
        <v>324</v>
      </c>
      <c r="V369" s="32"/>
      <c r="W369" s="32">
        <f>Table_query__44[[#This Row],[Grant Received]]*0.8</f>
        <v>288</v>
      </c>
      <c r="X369" s="32"/>
    </row>
    <row r="370" spans="1:24">
      <c r="A370" s="31" t="str">
        <f>LEFT(Table_query__44[[#This Row],[Title]],(FIND(" ",Table_query__44[[#This Row],[Title]],1)-1))</f>
        <v>SPM</v>
      </c>
      <c r="B370" s="32" t="s">
        <v>373</v>
      </c>
      <c r="C370" s="32" t="s">
        <v>25</v>
      </c>
      <c r="D370" s="34">
        <v>100</v>
      </c>
      <c r="E370" s="34">
        <v>15</v>
      </c>
      <c r="F370" s="32" t="s">
        <v>373</v>
      </c>
      <c r="G370" s="34">
        <v>11380</v>
      </c>
      <c r="H370" s="34">
        <v>9375</v>
      </c>
      <c r="I370" s="34">
        <v>800</v>
      </c>
      <c r="J370" s="34">
        <v>150</v>
      </c>
      <c r="K370" s="36">
        <v>100.0000008</v>
      </c>
      <c r="L370" s="32" t="s">
        <v>361</v>
      </c>
      <c r="M370" s="32"/>
      <c r="N370" s="32" t="s">
        <v>359</v>
      </c>
      <c r="O370" s="33">
        <v>43962.472858796296</v>
      </c>
      <c r="P370" s="32" t="s">
        <v>358</v>
      </c>
      <c r="Q370" s="32" t="s">
        <v>357</v>
      </c>
      <c r="R370" s="32"/>
      <c r="S370" s="32">
        <f>Table_query__44[[#This Row],[Grant Received]]*0.95</f>
        <v>95.000000759999992</v>
      </c>
      <c r="T370" s="32"/>
      <c r="U370" s="32">
        <f>Table_query__44[[#This Row],[Grant Received]]*0.9</f>
        <v>90.000000720000003</v>
      </c>
      <c r="V370" s="32"/>
      <c r="W370" s="32">
        <f>Table_query__44[[#This Row],[Grant Received]]*0.8</f>
        <v>80.000000639999996</v>
      </c>
      <c r="X370" s="32"/>
    </row>
    <row r="371" spans="1:24">
      <c r="A371" s="31" t="str">
        <f>LEFT(Table_query__44[[#This Row],[Title]],(FIND(" ",Table_query__44[[#This Row],[Title]],1)-1))</f>
        <v>SPM</v>
      </c>
      <c r="B371" s="32" t="s">
        <v>373</v>
      </c>
      <c r="C371" s="32" t="s">
        <v>24</v>
      </c>
      <c r="D371" s="34">
        <v>20</v>
      </c>
      <c r="E371" s="34">
        <v>4</v>
      </c>
      <c r="F371" s="32" t="s">
        <v>373</v>
      </c>
      <c r="G371" s="34">
        <v>2231</v>
      </c>
      <c r="H371" s="34">
        <v>1200</v>
      </c>
      <c r="I371" s="34">
        <v>1031</v>
      </c>
      <c r="J371" s="34">
        <v>1031</v>
      </c>
      <c r="K371" s="36">
        <v>675.5</v>
      </c>
      <c r="L371" s="32" t="s">
        <v>361</v>
      </c>
      <c r="M371" s="32"/>
      <c r="N371" s="32" t="s">
        <v>359</v>
      </c>
      <c r="O371" s="33">
        <v>43896.898344907408</v>
      </c>
      <c r="P371" s="32" t="s">
        <v>358</v>
      </c>
      <c r="Q371" s="32" t="s">
        <v>357</v>
      </c>
      <c r="R371" s="32"/>
      <c r="S371" s="32">
        <f>Table_query__44[[#This Row],[Grant Received]]*0.95</f>
        <v>641.72500000000002</v>
      </c>
      <c r="T371" s="32"/>
      <c r="U371" s="32">
        <f>Table_query__44[[#This Row],[Grant Received]]*0.9</f>
        <v>607.95000000000005</v>
      </c>
      <c r="V371" s="32"/>
      <c r="W371" s="32">
        <f>Table_query__44[[#This Row],[Grant Received]]*0.8</f>
        <v>540.4</v>
      </c>
      <c r="X371" s="32"/>
    </row>
    <row r="372" spans="1:24">
      <c r="A372" s="31" t="str">
        <f>LEFT(Table_query__44[[#This Row],[Title]],(FIND(" ",Table_query__44[[#This Row],[Title]],1)-1))</f>
        <v>SPM</v>
      </c>
      <c r="B372" s="32" t="s">
        <v>373</v>
      </c>
      <c r="C372" s="32" t="s">
        <v>23</v>
      </c>
      <c r="D372" s="34">
        <v>20</v>
      </c>
      <c r="E372" s="34">
        <v>6</v>
      </c>
      <c r="F372" s="32" t="s">
        <v>373</v>
      </c>
      <c r="G372" s="34">
        <v>5423.4</v>
      </c>
      <c r="H372" s="34">
        <v>4946.3999999999996</v>
      </c>
      <c r="I372" s="34">
        <v>300</v>
      </c>
      <c r="J372" s="34">
        <v>300</v>
      </c>
      <c r="K372" s="36">
        <v>247.77</v>
      </c>
      <c r="L372" s="32" t="s">
        <v>361</v>
      </c>
      <c r="M372" s="32"/>
      <c r="N372" s="32" t="s">
        <v>359</v>
      </c>
      <c r="O372" s="33">
        <v>43901.797546296293</v>
      </c>
      <c r="P372" s="32" t="s">
        <v>358</v>
      </c>
      <c r="Q372" s="32" t="s">
        <v>357</v>
      </c>
      <c r="R372" s="32"/>
      <c r="S372" s="32">
        <f>Table_query__44[[#This Row],[Grant Received]]*0.95</f>
        <v>235.38149999999999</v>
      </c>
      <c r="T372" s="32"/>
      <c r="U372" s="32">
        <f>Table_query__44[[#This Row],[Grant Received]]*0.9</f>
        <v>222.99300000000002</v>
      </c>
      <c r="V372" s="32"/>
      <c r="W372" s="32">
        <f>Table_query__44[[#This Row],[Grant Received]]*0.8</f>
        <v>198.21600000000001</v>
      </c>
      <c r="X372" s="32"/>
    </row>
    <row r="373" spans="1:24">
      <c r="A373" s="31" t="str">
        <f>LEFT(Table_query__44[[#This Row],[Title]],(FIND(" ",Table_query__44[[#This Row],[Title]],1)-1))</f>
        <v>SPM</v>
      </c>
      <c r="B373" s="32" t="s">
        <v>373</v>
      </c>
      <c r="C373" s="32" t="s">
        <v>22</v>
      </c>
      <c r="D373" s="34">
        <v>68</v>
      </c>
      <c r="E373" s="34">
        <v>10</v>
      </c>
      <c r="F373" s="32" t="s">
        <v>373</v>
      </c>
      <c r="G373" s="34">
        <v>13463.6</v>
      </c>
      <c r="H373" s="34">
        <v>10287</v>
      </c>
      <c r="I373" s="34">
        <v>3700</v>
      </c>
      <c r="J373" s="34">
        <v>3700</v>
      </c>
      <c r="K373" s="36">
        <v>2582.5</v>
      </c>
      <c r="L373" s="32" t="s">
        <v>361</v>
      </c>
      <c r="M373" s="32"/>
      <c r="N373" s="32" t="s">
        <v>359</v>
      </c>
      <c r="O373" s="33">
        <v>43895.628946759258</v>
      </c>
      <c r="P373" s="32" t="s">
        <v>358</v>
      </c>
      <c r="Q373" s="32" t="s">
        <v>357</v>
      </c>
      <c r="R373" s="32"/>
      <c r="S373" s="32">
        <f>Table_query__44[[#This Row],[Grant Received]]*0.95</f>
        <v>2453.375</v>
      </c>
      <c r="T373" s="32"/>
      <c r="U373" s="32">
        <f>Table_query__44[[#This Row],[Grant Received]]*0.9</f>
        <v>2324.25</v>
      </c>
      <c r="V373" s="32"/>
      <c r="W373" s="32">
        <f>Table_query__44[[#This Row],[Grant Received]]*0.8</f>
        <v>2066</v>
      </c>
      <c r="X373" s="32"/>
    </row>
    <row r="374" spans="1:24">
      <c r="A374" s="31" t="str">
        <f>LEFT(Table_query__44[[#This Row],[Title]],(FIND(" ",Table_query__44[[#This Row],[Title]],1)-1))</f>
        <v>SPM</v>
      </c>
      <c r="B374" s="32" t="s">
        <v>373</v>
      </c>
      <c r="C374" s="32" t="s">
        <v>21</v>
      </c>
      <c r="D374" s="34">
        <v>25</v>
      </c>
      <c r="E374" s="34">
        <v>20</v>
      </c>
      <c r="F374" s="32" t="s">
        <v>373</v>
      </c>
      <c r="G374" s="34">
        <v>4990</v>
      </c>
      <c r="H374" s="34">
        <v>2265</v>
      </c>
      <c r="I374" s="34">
        <v>2375</v>
      </c>
      <c r="J374" s="34">
        <v>2375</v>
      </c>
      <c r="K374" s="36">
        <v>1852.5</v>
      </c>
      <c r="L374" s="32" t="s">
        <v>361</v>
      </c>
      <c r="M374" s="32"/>
      <c r="N374" s="32" t="s">
        <v>359</v>
      </c>
      <c r="O374" s="33">
        <v>43901.79787037037</v>
      </c>
      <c r="P374" s="32" t="s">
        <v>358</v>
      </c>
      <c r="Q374" s="32" t="s">
        <v>357</v>
      </c>
      <c r="R374" s="32"/>
      <c r="S374" s="32">
        <f>Table_query__44[[#This Row],[Grant Received]]*0.95</f>
        <v>1759.875</v>
      </c>
      <c r="T374" s="32"/>
      <c r="U374" s="32">
        <f>Table_query__44[[#This Row],[Grant Received]]*0.9</f>
        <v>1667.25</v>
      </c>
      <c r="V374" s="32"/>
      <c r="W374" s="32">
        <f>Table_query__44[[#This Row],[Grant Received]]*0.8</f>
        <v>1482</v>
      </c>
      <c r="X374" s="32"/>
    </row>
    <row r="375" spans="1:24">
      <c r="A375" s="31" t="str">
        <f>LEFT(Table_query__44[[#This Row],[Title]],(FIND(" ",Table_query__44[[#This Row],[Title]],1)-1))</f>
        <v>SPM</v>
      </c>
      <c r="B375" s="32" t="s">
        <v>373</v>
      </c>
      <c r="C375" s="32" t="s">
        <v>20</v>
      </c>
      <c r="D375" s="34">
        <v>20</v>
      </c>
      <c r="E375" s="34">
        <v>10</v>
      </c>
      <c r="F375" s="32" t="s">
        <v>373</v>
      </c>
      <c r="G375" s="34">
        <v>3752</v>
      </c>
      <c r="H375" s="34">
        <v>2755</v>
      </c>
      <c r="I375" s="34">
        <v>900</v>
      </c>
      <c r="J375" s="34">
        <v>900</v>
      </c>
      <c r="K375" s="36">
        <v>692.5</v>
      </c>
      <c r="L375" s="32" t="s">
        <v>361</v>
      </c>
      <c r="M375" s="32"/>
      <c r="N375" s="32" t="s">
        <v>359</v>
      </c>
      <c r="O375" s="33">
        <v>43896.899085648147</v>
      </c>
      <c r="P375" s="32" t="s">
        <v>358</v>
      </c>
      <c r="Q375" s="32" t="s">
        <v>357</v>
      </c>
      <c r="R375" s="32"/>
      <c r="S375" s="32">
        <f>Table_query__44[[#This Row],[Grant Received]]*0.95</f>
        <v>657.875</v>
      </c>
      <c r="T375" s="32"/>
      <c r="U375" s="32">
        <f>Table_query__44[[#This Row],[Grant Received]]*0.9</f>
        <v>623.25</v>
      </c>
      <c r="V375" s="32"/>
      <c r="W375" s="32">
        <f>Table_query__44[[#This Row],[Grant Received]]*0.8</f>
        <v>554</v>
      </c>
      <c r="X375" s="32"/>
    </row>
    <row r="376" spans="1:24">
      <c r="A376" s="31" t="str">
        <f>LEFT(Table_query__44[[#This Row],[Title]],(FIND(" ",Table_query__44[[#This Row],[Title]],1)-1))</f>
        <v>Sport</v>
      </c>
      <c r="B376" s="32" t="s">
        <v>541</v>
      </c>
      <c r="C376" s="32" t="s">
        <v>364</v>
      </c>
      <c r="D376" s="34">
        <v>4700</v>
      </c>
      <c r="E376" s="34">
        <v>0</v>
      </c>
      <c r="F376" s="32" t="s">
        <v>363</v>
      </c>
      <c r="G376" s="34">
        <v>25900</v>
      </c>
      <c r="H376" s="34">
        <v>20600</v>
      </c>
      <c r="I376" s="34">
        <v>5300</v>
      </c>
      <c r="J376" s="34">
        <v>5150</v>
      </c>
      <c r="K376" s="36">
        <v>0</v>
      </c>
      <c r="L376" s="32" t="s">
        <v>361</v>
      </c>
      <c r="M376" s="32"/>
      <c r="N376" s="32" t="s">
        <v>359</v>
      </c>
      <c r="O376" s="33">
        <v>43871.380474537036</v>
      </c>
      <c r="P376" s="32" t="s">
        <v>358</v>
      </c>
      <c r="Q376" s="32" t="s">
        <v>357</v>
      </c>
      <c r="R376" s="32"/>
      <c r="S376" s="32">
        <f>Table_query__44[[#This Row],[Grant Received]]*0.95</f>
        <v>0</v>
      </c>
      <c r="T376" s="32"/>
      <c r="U376" s="32">
        <f>Table_query__44[[#This Row],[Grant Received]]*0.9</f>
        <v>0</v>
      </c>
      <c r="V376" s="32"/>
      <c r="W376" s="32">
        <f>Table_query__44[[#This Row],[Grant Received]]*0.8</f>
        <v>0</v>
      </c>
      <c r="X376" s="32"/>
    </row>
    <row r="377" spans="1:24" ht="16">
      <c r="B377" s="60"/>
      <c r="C377" s="61"/>
      <c r="D377" s="60"/>
      <c r="E377" s="60"/>
      <c r="F377" s="61"/>
      <c r="G377" s="60"/>
      <c r="H377" s="60"/>
      <c r="I377" s="60"/>
      <c r="J377" s="60"/>
      <c r="K377" s="62">
        <f>SUBTOTAL(109,Table_query__44[Grant Received])</f>
        <v>425765.88307519304</v>
      </c>
      <c r="L377" s="61"/>
      <c r="M377" s="61"/>
      <c r="N377" s="61"/>
      <c r="O377" s="63"/>
      <c r="P377" s="61"/>
      <c r="Q377" s="61"/>
      <c r="R377" s="64"/>
      <c r="S377" s="64"/>
      <c r="T377" s="64"/>
      <c r="U377"/>
      <c r="V377"/>
      <c r="W377"/>
      <c r="X377"/>
    </row>
    <row r="380" spans="1:24">
      <c r="G380" s="31">
        <v>419204.70779999997</v>
      </c>
    </row>
    <row r="381" spans="1:24">
      <c r="G381" s="31">
        <v>6939.24</v>
      </c>
      <c r="H381" s="31">
        <f>G380+G381</f>
        <v>426143.94779999997</v>
      </c>
    </row>
    <row r="382" spans="1:24">
      <c r="H382" s="31" t="s">
        <v>536</v>
      </c>
    </row>
    <row r="384" spans="1:24" ht="16">
      <c r="B384">
        <v>384663.63</v>
      </c>
    </row>
    <row r="385" spans="2:2">
      <c r="B385" s="31">
        <v>384663.63</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29CD3A9B64774093E35A21D3D3BD76" ma:contentTypeVersion="12" ma:contentTypeDescription="Create a new document." ma:contentTypeScope="" ma:versionID="cc82e81f2c7672b6626e12712c54aeff">
  <xsd:schema xmlns:xsd="http://www.w3.org/2001/XMLSchema" xmlns:xs="http://www.w3.org/2001/XMLSchema" xmlns:p="http://schemas.microsoft.com/office/2006/metadata/properties" xmlns:ns2="f46f071b-9d21-4ddb-b0c7-3c39fc9e34ac" xmlns:ns3="c9913a60-b751-470e-a3b9-a582e98c3566" targetNamespace="http://schemas.microsoft.com/office/2006/metadata/properties" ma:root="true" ma:fieldsID="1f30f65d2027000771d606da7dd1a9c7" ns2:_="" ns3:_="">
    <xsd:import namespace="f46f071b-9d21-4ddb-b0c7-3c39fc9e34ac"/>
    <xsd:import namespace="c9913a60-b751-470e-a3b9-a582e98c356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6f071b-9d21-4ddb-b0c7-3c39fc9e34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913a60-b751-470e-a3b9-a582e98c356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59C7EC-B8CB-4C34-9E1F-ACF4CD606F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6f071b-9d21-4ddb-b0c7-3c39fc9e34ac"/>
    <ds:schemaRef ds:uri="c9913a60-b751-470e-a3b9-a582e98c35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1263EA-1A51-4568-ADAA-4281B4F80D89}">
  <ds:schemaRefs>
    <ds:schemaRef ds:uri="http://schemas.microsoft.com/sharepoint/v3/contenttype/forms"/>
  </ds:schemaRefs>
</ds:datastoreItem>
</file>

<file path=customXml/itemProps3.xml><?xml version="1.0" encoding="utf-8"?>
<ds:datastoreItem xmlns:ds="http://schemas.openxmlformats.org/officeDocument/2006/customXml" ds:itemID="{3C0B6D07-5C37-43C3-AAEE-31355EE4C307}">
  <ds:schemaRefs>
    <ds:schemaRef ds:uri="http://purl.org/dc/dcmitype/"/>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elements/1.1/"/>
    <ds:schemaRef ds:uri="f46f071b-9d21-4ddb-b0c7-3c39fc9e34ac"/>
    <ds:schemaRef ds:uri="c9913a60-b751-470e-a3b9-a582e98c3566"/>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Summary</vt:lpstr>
      <vt:lpstr>ADF Breakdown</vt:lpstr>
      <vt:lpstr>CSP Budgeting models</vt:lpstr>
      <vt:lpstr>ANNEX A_ADF (18-19 YTD 190628)</vt:lpstr>
      <vt:lpstr>ANNEX B_ADF (18-19 Whole Year)</vt:lpstr>
      <vt:lpstr>ANNEX C_ADF (Query)</vt:lpstr>
      <vt:lpstr>ANNEX D_CSP Budgets (PowerBI)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Thomas Fernandez Debets - Dep. President (Clubs and So</cp:lastModifiedBy>
  <dcterms:created xsi:type="dcterms:W3CDTF">2020-06-25T09:37:45Z</dcterms:created>
  <dcterms:modified xsi:type="dcterms:W3CDTF">2020-06-29T13:36:42Z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0x0101009429CD3A9B64774093E35A21D3D3BD76</vt:lpwstr>
  </property>
</Properties>
</file>