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45" yWindow="750" windowWidth="15330" windowHeight="8310" tabRatio="626"/>
  </bookViews>
  <sheets>
    <sheet name="Tour Application Form" sheetId="6" r:id="rId1"/>
    <sheet name="Tour Proposal" sheetId="10" r:id="rId2"/>
    <sheet name="Tour Budget" sheetId="11" r:id="rId3"/>
    <sheet name="Old defunct Budget" sheetId="9" state="hidden" r:id="rId4"/>
    <sheet name="Lists" sheetId="8" state="hidden" r:id="rId5"/>
    <sheet name="Clubs" sheetId="4" state="hidden" r:id="rId6"/>
  </sheets>
  <definedNames>
    <definedName name="_xlnm._FilterDatabase" localSheetId="5" hidden="1">Clubs!$X$3:$X$6</definedName>
    <definedName name="_xlnm._FilterDatabase" localSheetId="0" hidden="1">'Tour Application Form'!#REF!</definedName>
    <definedName name="_xlnm._FilterDatabase" localSheetId="1" hidden="1">'Tour Proposal'!$A$1:$A$85</definedName>
    <definedName name="clubcode">Clubs!$A$2:$A$426</definedName>
    <definedName name="clubdetails">Clubs!$A$2:$H$421</definedName>
    <definedName name="CLubList">Clubs!$C$2:$C$426</definedName>
    <definedName name="compos">Lists!$A$1:$A$7</definedName>
    <definedName name="_xlnm.Criteria" localSheetId="1">'Tour Proposal'!$AI$21:$AJ$84</definedName>
    <definedName name="datenum">Lists!$J$1:$K$31</definedName>
    <definedName name="days">Lists!$J$1:$J$31</definedName>
    <definedName name="ExpendHeads">Clubs!$R$3:$R$30</definedName>
    <definedName name="FlightSub">Clubs!$X$3:$X$5</definedName>
    <definedName name="IncomeHeads">Clubs!$O$3:$O$14</definedName>
    <definedName name="LastYear">Clubs!$L$2</definedName>
    <definedName name="months">Lists!$L$1:$L$12</definedName>
    <definedName name="number">Lists!$O$1:$O$252</definedName>
    <definedName name="_xlnm.Print_Area" localSheetId="0">'Tour Application Form'!$A$1:$AP$121</definedName>
    <definedName name="ThisYear">Clubs!$K$2</definedName>
    <definedName name="TOMS_Attendence">'Old defunct Budget'!$D$12</definedName>
    <definedName name="TOMS_Capacity">'Old defunct Budget'!$D$10</definedName>
    <definedName name="totexp">'Tour Proposal'!$AI$81</definedName>
    <definedName name="tperiod">Lists!$L$1:$M$12</definedName>
    <definedName name="tseason">Lists!$B$2:$C$4</definedName>
    <definedName name="VAT">Clubs!$T$3:$T$4</definedName>
    <definedName name="VATrate">Clubs!$U$3:$U$5</definedName>
    <definedName name="years">Lists!$N$1:$N$43</definedName>
    <definedName name="yesno">Clubs!$V$3:$V$4</definedName>
    <definedName name="yeynay">Lists!$P$1:$P$2</definedName>
  </definedNames>
  <calcPr calcId="125725"/>
</workbook>
</file>

<file path=xl/calcChain.xml><?xml version="1.0" encoding="utf-8"?>
<calcChain xmlns="http://schemas.openxmlformats.org/spreadsheetml/2006/main">
  <c r="I20" i="11"/>
  <c r="H20"/>
  <c r="G20"/>
  <c r="F20"/>
  <c r="L9"/>
  <c r="T76" i="6"/>
  <c r="D10" i="11"/>
  <c r="H52"/>
  <c r="F52"/>
  <c r="G52"/>
  <c r="H53"/>
  <c r="F53"/>
  <c r="G53"/>
  <c r="H54"/>
  <c r="F54"/>
  <c r="G54"/>
  <c r="H55"/>
  <c r="F55"/>
  <c r="G55"/>
  <c r="H51"/>
  <c r="H64"/>
  <c r="G64"/>
  <c r="H63"/>
  <c r="G63"/>
  <c r="H43"/>
  <c r="I43"/>
  <c r="H42"/>
  <c r="I42"/>
  <c r="K42"/>
  <c r="H41"/>
  <c r="I41"/>
  <c r="K41" s="1"/>
  <c r="H40"/>
  <c r="I40"/>
  <c r="H39"/>
  <c r="I39"/>
  <c r="H38"/>
  <c r="I38"/>
  <c r="H37"/>
  <c r="K37"/>
  <c r="I37"/>
  <c r="H36"/>
  <c r="K36" s="1"/>
  <c r="I36"/>
  <c r="H35"/>
  <c r="I35"/>
  <c r="H34"/>
  <c r="G34"/>
  <c r="I34"/>
  <c r="I21"/>
  <c r="H21"/>
  <c r="F21"/>
  <c r="J21"/>
  <c r="G21"/>
  <c r="I22"/>
  <c r="H22"/>
  <c r="F22"/>
  <c r="G22"/>
  <c r="I23"/>
  <c r="H23"/>
  <c r="F23"/>
  <c r="J23" s="1"/>
  <c r="G23"/>
  <c r="I24"/>
  <c r="H24"/>
  <c r="F24"/>
  <c r="G24"/>
  <c r="I25"/>
  <c r="H25"/>
  <c r="K25" s="1"/>
  <c r="F25"/>
  <c r="G25"/>
  <c r="I26"/>
  <c r="H26"/>
  <c r="F26"/>
  <c r="G26"/>
  <c r="I27"/>
  <c r="H27"/>
  <c r="K27"/>
  <c r="F27"/>
  <c r="G27"/>
  <c r="I28"/>
  <c r="H28"/>
  <c r="K28" s="1"/>
  <c r="F28"/>
  <c r="G28"/>
  <c r="I29"/>
  <c r="H29"/>
  <c r="F29"/>
  <c r="J29"/>
  <c r="G29"/>
  <c r="AK18" i="6"/>
  <c r="T52"/>
  <c r="H32" i="9"/>
  <c r="R7" i="6"/>
  <c r="D4" i="11" s="1"/>
  <c r="P75" i="6"/>
  <c r="P74"/>
  <c r="T74"/>
  <c r="F60" i="11"/>
  <c r="AP81" i="6"/>
  <c r="N110"/>
  <c r="G61" i="11"/>
  <c r="H61"/>
  <c r="T75" i="6"/>
  <c r="F61" i="11"/>
  <c r="I61"/>
  <c r="G60"/>
  <c r="H60"/>
  <c r="I60"/>
  <c r="H62"/>
  <c r="F62"/>
  <c r="G62"/>
  <c r="I62"/>
  <c r="T77" i="6"/>
  <c r="F63" i="11"/>
  <c r="I63"/>
  <c r="T78" i="6"/>
  <c r="F64" i="11"/>
  <c r="J64" s="1"/>
  <c r="I64"/>
  <c r="T53" i="6"/>
  <c r="F35" i="11"/>
  <c r="G35"/>
  <c r="D14"/>
  <c r="F51"/>
  <c r="G51"/>
  <c r="I51"/>
  <c r="I52"/>
  <c r="I53"/>
  <c r="I54"/>
  <c r="I55"/>
  <c r="G37"/>
  <c r="G38"/>
  <c r="T57" i="6"/>
  <c r="F39" i="11"/>
  <c r="G39"/>
  <c r="T58" i="6"/>
  <c r="F40" i="11"/>
  <c r="G40"/>
  <c r="T59" i="6"/>
  <c r="F41" i="11"/>
  <c r="G41"/>
  <c r="J41" s="1"/>
  <c r="L41" s="1"/>
  <c r="AC59" i="6" s="1"/>
  <c r="AD42" i="10" s="1"/>
  <c r="T60" i="6"/>
  <c r="F42" i="11"/>
  <c r="G42"/>
  <c r="T61" i="6"/>
  <c r="F43" i="11"/>
  <c r="G43"/>
  <c r="G36"/>
  <c r="AC65" i="6"/>
  <c r="A24" i="10"/>
  <c r="A83" s="1"/>
  <c r="G81"/>
  <c r="B25"/>
  <c r="B50" s="1"/>
  <c r="AO18" i="6"/>
  <c r="AO17"/>
  <c r="AO20"/>
  <c r="AO16"/>
  <c r="V7" i="4"/>
  <c r="B21" i="10"/>
  <c r="E34" i="11"/>
  <c r="E35"/>
  <c r="E36"/>
  <c r="E37"/>
  <c r="E38"/>
  <c r="E39"/>
  <c r="E40"/>
  <c r="E41"/>
  <c r="E42"/>
  <c r="E43"/>
  <c r="AF75" i="10"/>
  <c r="AF74"/>
  <c r="AD75"/>
  <c r="AD74"/>
  <c r="AB75"/>
  <c r="AB74"/>
  <c r="U75"/>
  <c r="U74"/>
  <c r="K75"/>
  <c r="K74"/>
  <c r="Y116" i="6"/>
  <c r="AB116"/>
  <c r="K60" i="9"/>
  <c r="AG116" i="6"/>
  <c r="Y115"/>
  <c r="AB115"/>
  <c r="K59" i="9"/>
  <c r="AG115" i="6"/>
  <c r="E60" i="11"/>
  <c r="E61"/>
  <c r="E62"/>
  <c r="E63"/>
  <c r="E64"/>
  <c r="D10" i="9"/>
  <c r="K58"/>
  <c r="D12"/>
  <c r="H60"/>
  <c r="G60" s="1"/>
  <c r="J18"/>
  <c r="J29" s="1"/>
  <c r="K32"/>
  <c r="K33"/>
  <c r="K34"/>
  <c r="K35"/>
  <c r="K36"/>
  <c r="K37"/>
  <c r="K38"/>
  <c r="K39"/>
  <c r="K40"/>
  <c r="K41"/>
  <c r="D61" i="11"/>
  <c r="D62"/>
  <c r="D63"/>
  <c r="D64"/>
  <c r="D60"/>
  <c r="B61"/>
  <c r="B62"/>
  <c r="B63"/>
  <c r="B64"/>
  <c r="B60"/>
  <c r="B52"/>
  <c r="B53"/>
  <c r="B54"/>
  <c r="B55"/>
  <c r="B51"/>
  <c r="D52"/>
  <c r="D53"/>
  <c r="D54"/>
  <c r="D55"/>
  <c r="D51"/>
  <c r="D35"/>
  <c r="D36"/>
  <c r="D37"/>
  <c r="D38"/>
  <c r="D39"/>
  <c r="D40"/>
  <c r="D41"/>
  <c r="D42"/>
  <c r="D43"/>
  <c r="D34"/>
  <c r="B35"/>
  <c r="B36"/>
  <c r="B37"/>
  <c r="B38"/>
  <c r="B39"/>
  <c r="B40"/>
  <c r="B41"/>
  <c r="B42"/>
  <c r="B43"/>
  <c r="B34"/>
  <c r="AC48" i="6"/>
  <c r="B21" i="11"/>
  <c r="B22"/>
  <c r="B23"/>
  <c r="B24"/>
  <c r="B25"/>
  <c r="B26"/>
  <c r="B27"/>
  <c r="B28"/>
  <c r="B29"/>
  <c r="B20"/>
  <c r="D21"/>
  <c r="D22"/>
  <c r="D23"/>
  <c r="D24"/>
  <c r="D25"/>
  <c r="D26"/>
  <c r="D27"/>
  <c r="D28"/>
  <c r="D29"/>
  <c r="D20"/>
  <c r="P18" i="10"/>
  <c r="R18"/>
  <c r="T18"/>
  <c r="H18"/>
  <c r="D8" i="11" s="1"/>
  <c r="F8" s="1"/>
  <c r="J18" i="10"/>
  <c r="L18"/>
  <c r="L5" i="11"/>
  <c r="J33" i="8"/>
  <c r="J19" i="9"/>
  <c r="J20"/>
  <c r="J21"/>
  <c r="J22"/>
  <c r="J23"/>
  <c r="J24"/>
  <c r="J25"/>
  <c r="J26"/>
  <c r="J27"/>
  <c r="AI49" i="10"/>
  <c r="AI48"/>
  <c r="A14"/>
  <c r="A73"/>
  <c r="AI84"/>
  <c r="AI85"/>
  <c r="M5" i="9"/>
  <c r="J6"/>
  <c r="I6"/>
  <c r="H6"/>
  <c r="F6"/>
  <c r="E6"/>
  <c r="D6"/>
  <c r="J33"/>
  <c r="J34"/>
  <c r="J35"/>
  <c r="J36"/>
  <c r="J37"/>
  <c r="J38"/>
  <c r="J39"/>
  <c r="J40"/>
  <c r="J41"/>
  <c r="J32"/>
  <c r="AE17" i="10"/>
  <c r="AE16"/>
  <c r="F17"/>
  <c r="F16"/>
  <c r="G13"/>
  <c r="I12"/>
  <c r="I11"/>
  <c r="K31" i="9"/>
  <c r="K57"/>
  <c r="G62"/>
  <c r="G63"/>
  <c r="G64"/>
  <c r="G65"/>
  <c r="G61"/>
  <c r="G50"/>
  <c r="G51"/>
  <c r="G52"/>
  <c r="G53"/>
  <c r="G49"/>
  <c r="G33"/>
  <c r="G34"/>
  <c r="G35"/>
  <c r="G36"/>
  <c r="G37"/>
  <c r="G38"/>
  <c r="G39"/>
  <c r="G40"/>
  <c r="G41"/>
  <c r="G32"/>
  <c r="G19"/>
  <c r="G20"/>
  <c r="G21"/>
  <c r="G22"/>
  <c r="G23"/>
  <c r="G24"/>
  <c r="G25"/>
  <c r="G26"/>
  <c r="G27"/>
  <c r="G18"/>
  <c r="J62"/>
  <c r="J63"/>
  <c r="J64"/>
  <c r="J65"/>
  <c r="J61"/>
  <c r="H62"/>
  <c r="H63"/>
  <c r="H64"/>
  <c r="H65"/>
  <c r="H61"/>
  <c r="C62"/>
  <c r="C63"/>
  <c r="C64"/>
  <c r="C65"/>
  <c r="C61"/>
  <c r="G57"/>
  <c r="M12" i="8"/>
  <c r="M10"/>
  <c r="M9"/>
  <c r="M8"/>
  <c r="M7"/>
  <c r="M6"/>
  <c r="M4"/>
  <c r="M3"/>
  <c r="M1"/>
  <c r="F2"/>
  <c r="AC11" i="6" s="1"/>
  <c r="F3" i="8"/>
  <c r="F4"/>
  <c r="E4"/>
  <c r="D3"/>
  <c r="E3"/>
  <c r="D2"/>
  <c r="E2"/>
  <c r="G3"/>
  <c r="H3" s="1"/>
  <c r="G4"/>
  <c r="H4" s="1"/>
  <c r="G2"/>
  <c r="H2" s="1"/>
  <c r="I4"/>
  <c r="I3"/>
  <c r="I2"/>
  <c r="AC73" i="6"/>
  <c r="AC34"/>
  <c r="H8"/>
  <c r="I8" i="10" s="1"/>
  <c r="H18" i="9"/>
  <c r="H50"/>
  <c r="H51"/>
  <c r="H52"/>
  <c r="H53"/>
  <c r="H49"/>
  <c r="C50"/>
  <c r="C51"/>
  <c r="C52"/>
  <c r="C53"/>
  <c r="C49"/>
  <c r="H37"/>
  <c r="C40"/>
  <c r="C41"/>
  <c r="C35"/>
  <c r="C36"/>
  <c r="C37"/>
  <c r="C38"/>
  <c r="C39"/>
  <c r="C33"/>
  <c r="C34"/>
  <c r="C32"/>
  <c r="G31"/>
  <c r="H31"/>
  <c r="H19"/>
  <c r="H20"/>
  <c r="H21"/>
  <c r="H22"/>
  <c r="H23"/>
  <c r="H24"/>
  <c r="H25"/>
  <c r="H26"/>
  <c r="H27"/>
  <c r="C18"/>
  <c r="C19"/>
  <c r="C25"/>
  <c r="C20"/>
  <c r="C21"/>
  <c r="C22"/>
  <c r="C23"/>
  <c r="C24"/>
  <c r="C26"/>
  <c r="C27"/>
  <c r="D8"/>
  <c r="AL50" i="10"/>
  <c r="AK50"/>
  <c r="AJ54"/>
  <c r="AJ55"/>
  <c r="AD49"/>
  <c r="AD77"/>
  <c r="Z49"/>
  <c r="Z77"/>
  <c r="AJ85"/>
  <c r="AJ84"/>
  <c r="AJ50"/>
  <c r="AJ51"/>
  <c r="AJ52"/>
  <c r="AJ53"/>
  <c r="AJ56"/>
  <c r="AJ57"/>
  <c r="AJ58"/>
  <c r="AJ59"/>
  <c r="AJ60"/>
  <c r="AJ61"/>
  <c r="AJ62"/>
  <c r="AJ63"/>
  <c r="AJ64"/>
  <c r="AJ65"/>
  <c r="AJ66"/>
  <c r="AJ67"/>
  <c r="AJ68"/>
  <c r="AJ69"/>
  <c r="AK49"/>
  <c r="AK48"/>
  <c r="AK43"/>
  <c r="AK44"/>
  <c r="AK41"/>
  <c r="AK42"/>
  <c r="AK26"/>
  <c r="AK27"/>
  <c r="AK28"/>
  <c r="AK29"/>
  <c r="AK30"/>
  <c r="AK31"/>
  <c r="AK32"/>
  <c r="AK33"/>
  <c r="AK34"/>
  <c r="AK35"/>
  <c r="AK36"/>
  <c r="AK37"/>
  <c r="AK38"/>
  <c r="AK39"/>
  <c r="AK40"/>
  <c r="AK25"/>
  <c r="B26"/>
  <c r="B51" s="1"/>
  <c r="B27"/>
  <c r="B52" s="1"/>
  <c r="B28"/>
  <c r="B53" s="1"/>
  <c r="B29"/>
  <c r="B54" s="1"/>
  <c r="B30"/>
  <c r="B55" s="1"/>
  <c r="B31"/>
  <c r="B56" s="1"/>
  <c r="B32"/>
  <c r="B57" s="1"/>
  <c r="B33"/>
  <c r="B58" s="1"/>
  <c r="B34"/>
  <c r="B59" s="1"/>
  <c r="B35"/>
  <c r="B60" s="1"/>
  <c r="B36"/>
  <c r="B61" s="1"/>
  <c r="B37"/>
  <c r="B62" s="1"/>
  <c r="B38"/>
  <c r="B63" s="1"/>
  <c r="B39"/>
  <c r="B64" s="1"/>
  <c r="B40"/>
  <c r="B65" s="1"/>
  <c r="B41"/>
  <c r="B66" s="1"/>
  <c r="B42"/>
  <c r="B67" s="1"/>
  <c r="B43"/>
  <c r="B68" s="1"/>
  <c r="B44"/>
  <c r="B69" s="1"/>
  <c r="B7"/>
  <c r="C80" i="9"/>
  <c r="I7" i="10"/>
  <c r="A82"/>
  <c r="A75"/>
  <c r="A76"/>
  <c r="A77"/>
  <c r="A20"/>
  <c r="A16"/>
  <c r="A12"/>
  <c r="A8"/>
  <c r="A4"/>
  <c r="A1"/>
  <c r="A48"/>
  <c r="H33" i="9"/>
  <c r="C87"/>
  <c r="T56" i="6"/>
  <c r="H36" i="9"/>
  <c r="T54" i="6"/>
  <c r="F36" i="11"/>
  <c r="J36" s="1"/>
  <c r="T55" i="6"/>
  <c r="H35" i="9"/>
  <c r="A71" i="10"/>
  <c r="A74"/>
  <c r="A72"/>
  <c r="A81"/>
  <c r="A78"/>
  <c r="A23"/>
  <c r="A21"/>
  <c r="A19"/>
  <c r="A17"/>
  <c r="A15"/>
  <c r="A13"/>
  <c r="A11"/>
  <c r="A9"/>
  <c r="A7"/>
  <c r="A5"/>
  <c r="A70"/>
  <c r="A80"/>
  <c r="A49"/>
  <c r="A117" i="6"/>
  <c r="A79" i="10"/>
  <c r="A18"/>
  <c r="A10"/>
  <c r="F37" i="11"/>
  <c r="J37" s="1"/>
  <c r="L37" s="1"/>
  <c r="AC55" i="6" s="1"/>
  <c r="AD38" i="10" s="1"/>
  <c r="F38" i="11"/>
  <c r="J38" s="1"/>
  <c r="H40" i="9"/>
  <c r="D12" i="11"/>
  <c r="C78" s="1"/>
  <c r="H38" i="9"/>
  <c r="C83"/>
  <c r="C86"/>
  <c r="C81"/>
  <c r="H41"/>
  <c r="AE18" i="10"/>
  <c r="C82" i="11"/>
  <c r="C86"/>
  <c r="J28"/>
  <c r="L28" s="1"/>
  <c r="AC43" i="6" s="1"/>
  <c r="AD33" i="10" s="1"/>
  <c r="J26" i="11"/>
  <c r="J24"/>
  <c r="J22"/>
  <c r="C76"/>
  <c r="C80"/>
  <c r="J20"/>
  <c r="K20"/>
  <c r="K21"/>
  <c r="L21" s="1"/>
  <c r="AC36" i="6" s="1"/>
  <c r="AD26" i="10" s="1"/>
  <c r="AJ26" s="1"/>
  <c r="AM26" s="1"/>
  <c r="K38" i="11"/>
  <c r="K24"/>
  <c r="L24" s="1"/>
  <c r="AC39" i="6" s="1"/>
  <c r="AD29" i="10" s="1"/>
  <c r="K40" i="11"/>
  <c r="J43"/>
  <c r="J42"/>
  <c r="J40"/>
  <c r="L40" s="1"/>
  <c r="AC58" i="6" s="1"/>
  <c r="AD41" i="10" s="1"/>
  <c r="J35" i="11"/>
  <c r="K64"/>
  <c r="K22"/>
  <c r="L22" s="1"/>
  <c r="J62"/>
  <c r="K52"/>
  <c r="C83"/>
  <c r="C84"/>
  <c r="H39" i="9"/>
  <c r="C79" i="11"/>
  <c r="J51"/>
  <c r="K54"/>
  <c r="K53"/>
  <c r="J53"/>
  <c r="K62"/>
  <c r="L62" s="1"/>
  <c r="J60"/>
  <c r="J63"/>
  <c r="J61"/>
  <c r="F34"/>
  <c r="J34" s="1"/>
  <c r="H34" i="9"/>
  <c r="L42" i="11"/>
  <c r="AC60" i="6" s="1"/>
  <c r="AD43" i="10" s="1"/>
  <c r="J55" i="11"/>
  <c r="J27"/>
  <c r="L27" s="1"/>
  <c r="AC42" i="6" s="1"/>
  <c r="AD32" i="10" s="1"/>
  <c r="C89" i="9"/>
  <c r="C90"/>
  <c r="C85"/>
  <c r="C88"/>
  <c r="C82"/>
  <c r="D4"/>
  <c r="H59"/>
  <c r="G59" s="1"/>
  <c r="H58"/>
  <c r="K29" i="11"/>
  <c r="L29" s="1"/>
  <c r="AC44" i="6" s="1"/>
  <c r="AD34" i="10" s="1"/>
  <c r="K39" i="11"/>
  <c r="AC12" i="6" l="1"/>
  <c r="Y11" i="10"/>
  <c r="L38" i="11"/>
  <c r="AC56" i="6" s="1"/>
  <c r="AD39" i="10" s="1"/>
  <c r="G58" i="9"/>
  <c r="J66" i="11"/>
  <c r="C85"/>
  <c r="C77"/>
  <c r="C81"/>
  <c r="A22" i="10"/>
  <c r="A6"/>
  <c r="A45"/>
  <c r="G8" i="11"/>
  <c r="K43" i="9"/>
  <c r="K45" s="1"/>
  <c r="C84"/>
  <c r="L36" i="11"/>
  <c r="AC54" i="6" s="1"/>
  <c r="AD37" i="10" s="1"/>
  <c r="K63" i="11"/>
  <c r="K55"/>
  <c r="J52"/>
  <c r="L20"/>
  <c r="AC35" i="6" s="1"/>
  <c r="AD25" i="10" s="1"/>
  <c r="K26" i="11"/>
  <c r="L26" s="1"/>
  <c r="J25"/>
  <c r="K23"/>
  <c r="K35"/>
  <c r="L35" s="1"/>
  <c r="AC53" i="6" s="1"/>
  <c r="AD36" i="10" s="1"/>
  <c r="J39" i="11"/>
  <c r="L39" s="1"/>
  <c r="AC57" i="6" s="1"/>
  <c r="AD40" i="10" s="1"/>
  <c r="K43" i="11"/>
  <c r="L43" s="1"/>
  <c r="AC61" i="6" s="1"/>
  <c r="AD44" i="10" s="1"/>
  <c r="J54" i="11"/>
  <c r="K60"/>
  <c r="K61"/>
  <c r="L61" s="1"/>
  <c r="AC75" i="6" s="1"/>
  <c r="K62" i="9" s="1"/>
  <c r="K51" i="11"/>
  <c r="L53"/>
  <c r="AC68" i="6" s="1"/>
  <c r="J51" i="9" s="1"/>
  <c r="L54" i="11"/>
  <c r="AC69" i="6" s="1"/>
  <c r="J52" i="9" s="1"/>
  <c r="AJ34" i="10"/>
  <c r="AM34" s="1"/>
  <c r="Z34"/>
  <c r="Z59" s="1"/>
  <c r="AI34"/>
  <c r="AD59"/>
  <c r="AI38"/>
  <c r="AD63"/>
  <c r="AJ38"/>
  <c r="AM38" s="1"/>
  <c r="Z38"/>
  <c r="Z63" s="1"/>
  <c r="J45" i="11"/>
  <c r="AJ41" i="10"/>
  <c r="AM41" s="1"/>
  <c r="AD66"/>
  <c r="Z41"/>
  <c r="Z66" s="1"/>
  <c r="AI41"/>
  <c r="Z33"/>
  <c r="Z58" s="1"/>
  <c r="AJ33"/>
  <c r="AM33" s="1"/>
  <c r="AI33"/>
  <c r="AD58"/>
  <c r="F90" i="9"/>
  <c r="F84"/>
  <c r="F89"/>
  <c r="F83"/>
  <c r="F80"/>
  <c r="F85"/>
  <c r="F88"/>
  <c r="F87"/>
  <c r="F81"/>
  <c r="F86"/>
  <c r="F82"/>
  <c r="Z42" i="10"/>
  <c r="Z67" s="1"/>
  <c r="AJ42"/>
  <c r="AM42" s="1"/>
  <c r="AI42"/>
  <c r="AD67"/>
  <c r="AI37"/>
  <c r="AD62"/>
  <c r="Z37"/>
  <c r="Z62" s="1"/>
  <c r="AJ37"/>
  <c r="AM37" s="1"/>
  <c r="AJ25"/>
  <c r="AM25" s="1"/>
  <c r="AD50"/>
  <c r="AI25"/>
  <c r="Z25"/>
  <c r="Z50" s="1"/>
  <c r="J57" i="11"/>
  <c r="J68" s="1"/>
  <c r="AJ32" i="10"/>
  <c r="AM32" s="1"/>
  <c r="Z32"/>
  <c r="Z57" s="1"/>
  <c r="AI32"/>
  <c r="AD57"/>
  <c r="AJ43"/>
  <c r="AM43" s="1"/>
  <c r="Z43"/>
  <c r="Z68" s="1"/>
  <c r="AD68"/>
  <c r="AI43"/>
  <c r="AD54"/>
  <c r="Z29"/>
  <c r="Z54" s="1"/>
  <c r="AJ29"/>
  <c r="AM29" s="1"/>
  <c r="AI29"/>
  <c r="AD64"/>
  <c r="AJ39"/>
  <c r="AM39" s="1"/>
  <c r="AI39"/>
  <c r="Z39"/>
  <c r="Z64" s="1"/>
  <c r="L60" i="11"/>
  <c r="AC74" i="6" s="1"/>
  <c r="K61" i="9" s="1"/>
  <c r="K66" i="11"/>
  <c r="J31"/>
  <c r="L25"/>
  <c r="AC40" i="6" s="1"/>
  <c r="AD30" i="10" s="1"/>
  <c r="L23" i="11"/>
  <c r="AC38" i="6" s="1"/>
  <c r="AD28" i="10" s="1"/>
  <c r="K31" i="11"/>
  <c r="Z36" i="10"/>
  <c r="Z61" s="1"/>
  <c r="AJ36"/>
  <c r="AM36" s="1"/>
  <c r="AD61"/>
  <c r="AI36"/>
  <c r="AD65"/>
  <c r="Z40"/>
  <c r="Z65" s="1"/>
  <c r="AI40"/>
  <c r="AJ40"/>
  <c r="AM40" s="1"/>
  <c r="L51" i="11"/>
  <c r="AC66" i="6" s="1"/>
  <c r="J49" i="9" s="1"/>
  <c r="K57" i="11"/>
  <c r="L55"/>
  <c r="AC70" i="6" s="1"/>
  <c r="J53" i="9" s="1"/>
  <c r="L63" i="11"/>
  <c r="AC77" i="6" s="1"/>
  <c r="K64" i="9" s="1"/>
  <c r="K34" i="11"/>
  <c r="K45" s="1"/>
  <c r="K47" s="1"/>
  <c r="L52"/>
  <c r="L64"/>
  <c r="AC78" i="6" s="1"/>
  <c r="K65" i="9" s="1"/>
  <c r="AD51" i="10"/>
  <c r="Z26"/>
  <c r="Z51" s="1"/>
  <c r="AI26"/>
  <c r="AL26" s="1"/>
  <c r="AC76" i="6"/>
  <c r="K63" i="9" s="1"/>
  <c r="K67" s="1"/>
  <c r="AC37" i="6"/>
  <c r="AC67"/>
  <c r="J50" i="9" s="1"/>
  <c r="J55" s="1"/>
  <c r="A26" i="10"/>
  <c r="AI51"/>
  <c r="A51" s="1"/>
  <c r="Z44" l="1"/>
  <c r="Z69" s="1"/>
  <c r="AI44"/>
  <c r="AD69"/>
  <c r="AJ44"/>
  <c r="AM44" s="1"/>
  <c r="AC41" i="6"/>
  <c r="AD31" i="10" s="1"/>
  <c r="L31" i="11"/>
  <c r="Y12" i="10"/>
  <c r="D6" i="11"/>
  <c r="L57"/>
  <c r="L66"/>
  <c r="AN40" i="10"/>
  <c r="AI65"/>
  <c r="A65" s="1"/>
  <c r="AL40"/>
  <c r="A40"/>
  <c r="Z28"/>
  <c r="Z53" s="1"/>
  <c r="AI28"/>
  <c r="AD53"/>
  <c r="AJ28"/>
  <c r="AM28" s="1"/>
  <c r="AN39"/>
  <c r="AI64"/>
  <c r="A64" s="1"/>
  <c r="AL39"/>
  <c r="A39"/>
  <c r="AL32"/>
  <c r="AI57"/>
  <c r="A57" s="1"/>
  <c r="A32"/>
  <c r="AN32"/>
  <c r="AN33"/>
  <c r="AL33"/>
  <c r="AI58"/>
  <c r="A58" s="1"/>
  <c r="A33"/>
  <c r="AL38"/>
  <c r="AI63"/>
  <c r="A63" s="1"/>
  <c r="A38"/>
  <c r="AN38"/>
  <c r="AN34"/>
  <c r="AL34"/>
  <c r="A34"/>
  <c r="AI59"/>
  <c r="A59" s="1"/>
  <c r="L34" i="11"/>
  <c r="AL36" i="10"/>
  <c r="AI61"/>
  <c r="A61" s="1"/>
  <c r="AN36"/>
  <c r="A36"/>
  <c r="AI30"/>
  <c r="AJ30"/>
  <c r="AM30" s="1"/>
  <c r="AD55"/>
  <c r="Z30"/>
  <c r="Z55" s="1"/>
  <c r="AL29"/>
  <c r="AN29"/>
  <c r="A29"/>
  <c r="AI54"/>
  <c r="AI69"/>
  <c r="A69" s="1"/>
  <c r="A44"/>
  <c r="AN44"/>
  <c r="AL44"/>
  <c r="A43"/>
  <c r="AI68"/>
  <c r="A68" s="1"/>
  <c r="AL43"/>
  <c r="AN43"/>
  <c r="AL25"/>
  <c r="AI50"/>
  <c r="A50" s="1"/>
  <c r="AN25"/>
  <c r="A25"/>
  <c r="AI62"/>
  <c r="A62" s="1"/>
  <c r="A37"/>
  <c r="AN37"/>
  <c r="AL37"/>
  <c r="AL42"/>
  <c r="AN42"/>
  <c r="AI67"/>
  <c r="A67" s="1"/>
  <c r="A42"/>
  <c r="AI66"/>
  <c r="A66" s="1"/>
  <c r="AL41"/>
  <c r="A41"/>
  <c r="AN41"/>
  <c r="K68" i="11"/>
  <c r="K70" s="1"/>
  <c r="J47"/>
  <c r="J70" s="1"/>
  <c r="AN26" i="10"/>
  <c r="D89" i="9"/>
  <c r="D81"/>
  <c r="D83"/>
  <c r="D88"/>
  <c r="D84"/>
  <c r="D90"/>
  <c r="D80"/>
  <c r="D86"/>
  <c r="D85"/>
  <c r="D87"/>
  <c r="D82"/>
  <c r="O91" i="6"/>
  <c r="AD27" i="10"/>
  <c r="D78" i="11"/>
  <c r="D79"/>
  <c r="D85"/>
  <c r="D82"/>
  <c r="D76"/>
  <c r="D80"/>
  <c r="D81"/>
  <c r="D77"/>
  <c r="D83"/>
  <c r="D86"/>
  <c r="D84"/>
  <c r="K69" i="9"/>
  <c r="L68" i="11"/>
  <c r="AJ31" i="10" l="1"/>
  <c r="AM31" s="1"/>
  <c r="AI31"/>
  <c r="AD56"/>
  <c r="Z31"/>
  <c r="Z56" s="1"/>
  <c r="A54"/>
  <c r="AK54"/>
  <c r="L45" i="11"/>
  <c r="AC52" i="6"/>
  <c r="AD35" i="10" s="1"/>
  <c r="AN30"/>
  <c r="A30"/>
  <c r="AL30"/>
  <c r="AI55"/>
  <c r="A28"/>
  <c r="AI53"/>
  <c r="A53" s="1"/>
  <c r="AN28"/>
  <c r="AL28"/>
  <c r="K71" i="9"/>
  <c r="J74" s="1"/>
  <c r="AI27" i="10"/>
  <c r="AJ27"/>
  <c r="AM27" s="1"/>
  <c r="Z27"/>
  <c r="Z52" s="1"/>
  <c r="AD52"/>
  <c r="H82" i="9"/>
  <c r="G82"/>
  <c r="J82" s="1"/>
  <c r="H85"/>
  <c r="G85"/>
  <c r="J85" s="1"/>
  <c r="G80"/>
  <c r="J80" s="1"/>
  <c r="H80"/>
  <c r="G84"/>
  <c r="J84" s="1"/>
  <c r="H84"/>
  <c r="H83"/>
  <c r="G83"/>
  <c r="J83" s="1"/>
  <c r="G89"/>
  <c r="J89" s="1"/>
  <c r="H89"/>
  <c r="H87"/>
  <c r="G87"/>
  <c r="J87" s="1"/>
  <c r="G86"/>
  <c r="H86"/>
  <c r="J86"/>
  <c r="G90"/>
  <c r="J90" s="1"/>
  <c r="H90"/>
  <c r="G88"/>
  <c r="J88" s="1"/>
  <c r="H88"/>
  <c r="G81"/>
  <c r="J81" s="1"/>
  <c r="H81"/>
  <c r="AL31" i="10" l="1"/>
  <c r="AN31"/>
  <c r="AI56"/>
  <c r="A56" s="1"/>
  <c r="A31"/>
  <c r="AK55"/>
  <c r="A55"/>
  <c r="E83" i="11"/>
  <c r="F83" s="1"/>
  <c r="E82"/>
  <c r="F82" s="1"/>
  <c r="E80"/>
  <c r="F80" s="1"/>
  <c r="E81"/>
  <c r="F81" s="1"/>
  <c r="E85"/>
  <c r="F85" s="1"/>
  <c r="L47"/>
  <c r="L70" s="1"/>
  <c r="E77"/>
  <c r="F77" s="1"/>
  <c r="E79"/>
  <c r="F79" s="1"/>
  <c r="E84"/>
  <c r="F84" s="1"/>
  <c r="E86"/>
  <c r="F86" s="1"/>
  <c r="E78"/>
  <c r="F78" s="1"/>
  <c r="E76"/>
  <c r="F76" s="1"/>
  <c r="AI35" i="10"/>
  <c r="AJ35"/>
  <c r="AM35" s="1"/>
  <c r="Z35"/>
  <c r="Z60" s="1"/>
  <c r="AD60"/>
  <c r="AN27"/>
  <c r="AL27"/>
  <c r="AI52"/>
  <c r="A52" s="1"/>
  <c r="A27"/>
  <c r="AL35" l="1"/>
  <c r="AL49" s="1"/>
  <c r="AD79" s="1"/>
  <c r="AM49"/>
  <c r="AD80" s="1"/>
  <c r="AI60"/>
  <c r="A60" s="1"/>
  <c r="AN35"/>
  <c r="AN49" s="1"/>
  <c r="AD78" s="1"/>
  <c r="A35"/>
  <c r="Z78" l="1"/>
  <c r="AD70"/>
  <c r="AI81"/>
  <c r="AD82"/>
  <c r="Z82" s="1"/>
  <c r="AD81"/>
  <c r="R88" i="6" s="1"/>
  <c r="AD45" i="10"/>
  <c r="Z79"/>
  <c r="AD83"/>
  <c r="Z80"/>
  <c r="AD46"/>
  <c r="Z81"/>
  <c r="Z70"/>
  <c r="A81" i="6"/>
  <c r="A92" s="1"/>
  <c r="K87"/>
  <c r="J115" s="1"/>
  <c r="J116"/>
  <c r="G85" l="1"/>
  <c r="I111" s="1"/>
  <c r="U108" s="1"/>
  <c r="Z45" i="10"/>
  <c r="Z83"/>
  <c r="V85" i="6" s="1"/>
  <c r="I110" s="1"/>
  <c r="AD47" i="10"/>
  <c r="Z46"/>
  <c r="Z47" l="1"/>
  <c r="F87" i="6"/>
</calcChain>
</file>

<file path=xl/sharedStrings.xml><?xml version="1.0" encoding="utf-8"?>
<sst xmlns="http://schemas.openxmlformats.org/spreadsheetml/2006/main" count="1802" uniqueCount="1166">
  <si>
    <t>051</t>
  </si>
  <si>
    <t>052</t>
  </si>
  <si>
    <t>133</t>
  </si>
  <si>
    <t>138</t>
  </si>
  <si>
    <t>140</t>
  </si>
  <si>
    <t>141</t>
  </si>
  <si>
    <t>142</t>
  </si>
  <si>
    <t>143</t>
  </si>
  <si>
    <t>144</t>
  </si>
  <si>
    <t>261</t>
  </si>
  <si>
    <t>333</t>
  </si>
  <si>
    <t>334</t>
  </si>
  <si>
    <t>170</t>
  </si>
  <si>
    <t>Club Code</t>
  </si>
  <si>
    <t>Contingency</t>
  </si>
  <si>
    <t>Newsletter</t>
  </si>
  <si>
    <t>SportsClub</t>
  </si>
  <si>
    <t>000</t>
  </si>
  <si>
    <t>ACC Exec</t>
  </si>
  <si>
    <t>001</t>
  </si>
  <si>
    <t>002</t>
  </si>
  <si>
    <t>003</t>
  </si>
  <si>
    <t>004</t>
  </si>
  <si>
    <t>005</t>
  </si>
  <si>
    <t>006</t>
  </si>
  <si>
    <t>007</t>
  </si>
  <si>
    <t>008</t>
  </si>
  <si>
    <t>009</t>
  </si>
  <si>
    <t>010</t>
  </si>
  <si>
    <t>012</t>
  </si>
  <si>
    <t>013</t>
  </si>
  <si>
    <t>014</t>
  </si>
  <si>
    <t>015</t>
  </si>
  <si>
    <t>016</t>
  </si>
  <si>
    <t>017</t>
  </si>
  <si>
    <t>018</t>
  </si>
  <si>
    <t>019</t>
  </si>
  <si>
    <t>020</t>
  </si>
  <si>
    <t>021</t>
  </si>
  <si>
    <t>022</t>
  </si>
  <si>
    <t>023</t>
  </si>
  <si>
    <t>024</t>
  </si>
  <si>
    <t>025</t>
  </si>
  <si>
    <t>027</t>
  </si>
  <si>
    <t>028</t>
  </si>
  <si>
    <t>029</t>
  </si>
  <si>
    <t>030</t>
  </si>
  <si>
    <t>031</t>
  </si>
  <si>
    <t>033</t>
  </si>
  <si>
    <t>034</t>
  </si>
  <si>
    <t>035</t>
  </si>
  <si>
    <t>037</t>
  </si>
  <si>
    <t>038</t>
  </si>
  <si>
    <t>039</t>
  </si>
  <si>
    <t>040</t>
  </si>
  <si>
    <t>042</t>
  </si>
  <si>
    <t>045</t>
  </si>
  <si>
    <t>046</t>
  </si>
  <si>
    <t>601</t>
  </si>
  <si>
    <t>602</t>
  </si>
  <si>
    <t>603</t>
  </si>
  <si>
    <t>604</t>
  </si>
  <si>
    <t>605</t>
  </si>
  <si>
    <t>606</t>
  </si>
  <si>
    <t>609</t>
  </si>
  <si>
    <t>611</t>
  </si>
  <si>
    <t>612</t>
  </si>
  <si>
    <t>614</t>
  </si>
  <si>
    <t>616</t>
  </si>
  <si>
    <t>622</t>
  </si>
  <si>
    <t>759</t>
  </si>
  <si>
    <t>300</t>
  </si>
  <si>
    <t>OSC Exec</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</si>
  <si>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</si>
  <si>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</si>
  <si>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</si>
  <si>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</si>
  <si>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</si>
  <si>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</si>
  <si>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</si>
  <si>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</si>
  <si>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</si>
  <si>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</si>
  <si>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</si>
  <si>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</si>
  <si>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</si>
  <si>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</si>
  <si>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</si>
  <si>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</si>
  <si>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</si>
  <si>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</si>
  <si>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</si>
  <si>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</si>
  <si>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</si>
  <si>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</si>
  <si>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</si>
  <si>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</si>
  <si>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</si>
  <si>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</si>
  <si>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328</t>
  </si>
  <si>
    <t>500</t>
  </si>
  <si>
    <t>Media Exec</t>
  </si>
  <si>
    <t>505</t>
  </si>
  <si>
    <t>510</t>
  </si>
  <si>
    <t>515</t>
  </si>
  <si>
    <t>Handbook</t>
  </si>
  <si>
    <t>530</t>
  </si>
  <si>
    <t>100</t>
  </si>
  <si>
    <t>RCC Exec</t>
  </si>
  <si>
    <t>102</t>
  </si>
  <si>
    <t>103</t>
  </si>
  <si>
    <t>104</t>
  </si>
  <si>
    <t>105</t>
  </si>
  <si>
    <t>106</t>
  </si>
  <si>
    <t>107</t>
  </si>
  <si>
    <t>108</t>
  </si>
  <si>
    <t>109</t>
  </si>
  <si>
    <t>110</t>
  </si>
  <si>
    <t>111</t>
  </si>
  <si>
    <t>112</t>
  </si>
  <si>
    <t>115</t>
  </si>
  <si>
    <t>116</t>
  </si>
  <si>
    <t>117</t>
  </si>
  <si>
    <t>118</t>
  </si>
  <si>
    <t>119</t>
  </si>
  <si>
    <t>120</t>
  </si>
  <si>
    <t>124</t>
  </si>
  <si>
    <t>125</t>
  </si>
  <si>
    <t>126</t>
  </si>
  <si>
    <t>128</t>
  </si>
  <si>
    <t>129</t>
  </si>
  <si>
    <t>130</t>
  </si>
  <si>
    <t>131</t>
  </si>
  <si>
    <t>132</t>
  </si>
  <si>
    <t>134</t>
  </si>
  <si>
    <t>135</t>
  </si>
  <si>
    <t>633</t>
  </si>
  <si>
    <t>634</t>
  </si>
  <si>
    <t>635</t>
  </si>
  <si>
    <t>637</t>
  </si>
  <si>
    <t>640</t>
  </si>
  <si>
    <t>646</t>
  </si>
  <si>
    <t>661</t>
  </si>
  <si>
    <t>664</t>
  </si>
  <si>
    <t>666</t>
  </si>
  <si>
    <t>669</t>
  </si>
  <si>
    <t>675</t>
  </si>
  <si>
    <t>678</t>
  </si>
  <si>
    <t>681</t>
  </si>
  <si>
    <t>684</t>
  </si>
  <si>
    <t>400</t>
  </si>
  <si>
    <t>410</t>
  </si>
  <si>
    <t>415</t>
  </si>
  <si>
    <t>200</t>
  </si>
  <si>
    <t>SCC Exec</t>
  </si>
  <si>
    <t>203</t>
  </si>
  <si>
    <t>205</t>
  </si>
  <si>
    <t>206</t>
  </si>
  <si>
    <t>209</t>
  </si>
  <si>
    <t>221</t>
  </si>
  <si>
    <t>222</t>
  </si>
  <si>
    <t>223</t>
  </si>
  <si>
    <t>224</t>
  </si>
  <si>
    <t>225</t>
  </si>
  <si>
    <t>227</t>
  </si>
  <si>
    <t>230</t>
  </si>
  <si>
    <t>233</t>
  </si>
  <si>
    <t>235</t>
  </si>
  <si>
    <t>236</t>
  </si>
  <si>
    <t>239</t>
  </si>
  <si>
    <t>242</t>
  </si>
  <si>
    <t>245</t>
  </si>
  <si>
    <t>248</t>
  </si>
  <si>
    <t>251</t>
  </si>
  <si>
    <t>254</t>
  </si>
  <si>
    <t>265</t>
  </si>
  <si>
    <t>266</t>
  </si>
  <si>
    <t>267</t>
  </si>
  <si>
    <t>269</t>
  </si>
  <si>
    <t>270</t>
  </si>
  <si>
    <t>276</t>
  </si>
  <si>
    <t>550</t>
  </si>
  <si>
    <t>566</t>
  </si>
  <si>
    <t>567</t>
  </si>
  <si>
    <t>570</t>
  </si>
  <si>
    <t>574</t>
  </si>
  <si>
    <t>580</t>
  </si>
  <si>
    <t>582</t>
  </si>
  <si>
    <t>590</t>
  </si>
  <si>
    <t>591</t>
  </si>
  <si>
    <t>Wye Exec</t>
  </si>
  <si>
    <t>Wye Football</t>
  </si>
  <si>
    <t>Wye Badminton</t>
  </si>
  <si>
    <t>Wye Boat Club</t>
  </si>
  <si>
    <t>Wye Cricket Club</t>
  </si>
  <si>
    <t>Wye Islamic</t>
  </si>
  <si>
    <t>Wye Riding Club</t>
  </si>
  <si>
    <t>Wye Rugby Club</t>
  </si>
  <si>
    <t>Wye Post Grad</t>
  </si>
  <si>
    <t>011</t>
  </si>
  <si>
    <t>047</t>
  </si>
  <si>
    <t>329</t>
  </si>
  <si>
    <t>330</t>
  </si>
  <si>
    <t>331</t>
  </si>
  <si>
    <t>940</t>
  </si>
  <si>
    <t>RSM Rugby</t>
  </si>
  <si>
    <t>RSM Football</t>
  </si>
  <si>
    <t>RSM Hockey</t>
  </si>
  <si>
    <t>980</t>
  </si>
  <si>
    <t>207</t>
  </si>
  <si>
    <t>137</t>
  </si>
  <si>
    <t>255</t>
  </si>
  <si>
    <t>this year</t>
  </si>
  <si>
    <t>CSC / FSA</t>
  </si>
  <si>
    <t>Club Code / Number</t>
  </si>
  <si>
    <t>TOUR LEADER</t>
  </si>
  <si>
    <t>Full Name</t>
  </si>
  <si>
    <t>Committee Position</t>
  </si>
  <si>
    <t>Contact E-mail</t>
  </si>
  <si>
    <t>@</t>
  </si>
  <si>
    <t>imperial.ac.uk</t>
  </si>
  <si>
    <t>TOUR PERIOD</t>
  </si>
  <si>
    <t>Chair</t>
  </si>
  <si>
    <t>President</t>
  </si>
  <si>
    <t>Treasurer</t>
  </si>
  <si>
    <t>Secretary</t>
  </si>
  <si>
    <t>Tours Officer</t>
  </si>
  <si>
    <t>Between 16th Feb &amp; 15th May</t>
  </si>
  <si>
    <t>Between 16th May &amp; 15th Nov</t>
  </si>
  <si>
    <t>Between 16th Nov &amp; 15th Feb</t>
  </si>
  <si>
    <t>WINTER</t>
  </si>
  <si>
    <t>SPRING</t>
  </si>
  <si>
    <t>SUMMER</t>
  </si>
  <si>
    <t>TOUR OUTLINE</t>
  </si>
  <si>
    <t>Destination</t>
  </si>
  <si>
    <t>Travel Dates</t>
  </si>
  <si>
    <t>from</t>
  </si>
  <si>
    <t>to</t>
  </si>
  <si>
    <t>Country</t>
  </si>
  <si>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</si>
  <si>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</si>
  <si>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</si>
  <si>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</si>
  <si>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</si>
  <si>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</si>
  <si>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</si>
  <si>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</si>
  <si>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</si>
  <si>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</si>
  <si>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</si>
  <si>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</si>
  <si>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</si>
  <si>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</si>
  <si>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</si>
  <si>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</si>
  <si>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</si>
  <si>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</si>
  <si>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</si>
  <si>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</si>
  <si>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</si>
  <si>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</si>
  <si>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</si>
  <si>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</si>
  <si>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</si>
  <si>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</si>
  <si>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</si>
  <si>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</si>
  <si>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</si>
  <si>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</si>
  <si>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</si>
  <si>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Jan</t>
  </si>
  <si>
    <t>Feb</t>
  </si>
  <si>
    <t>Mar</t>
  </si>
  <si>
    <t>Apr</t>
  </si>
  <si>
    <t>May</t>
  </si>
  <si>
    <t>Jun</t>
  </si>
  <si>
    <t>Jul</t>
  </si>
  <si>
    <t>Aug</t>
  </si>
  <si>
    <t>Sep</t>
  </si>
  <si>
    <t>Oct</t>
  </si>
  <si>
    <t>Nov</t>
  </si>
  <si>
    <t>Dec</t>
  </si>
  <si>
    <t>Club / Society</t>
  </si>
  <si>
    <t>ICU Student Members</t>
  </si>
  <si>
    <t>NUMBER OF PARTICIPANTS</t>
  </si>
  <si>
    <t>Total</t>
  </si>
  <si>
    <t>Others</t>
  </si>
  <si>
    <t>CLUB INFORMATION</t>
  </si>
  <si>
    <t>TOUR PURPOSE</t>
  </si>
  <si>
    <t>EXPENDITURE</t>
  </si>
  <si>
    <t>Total Cost</t>
  </si>
  <si>
    <t>Tour Budgeting Template 03-04 Ver 1.00 - TOMS VAT Rules</t>
  </si>
  <si>
    <t>Finance Use ONLY</t>
  </si>
  <si>
    <t>Club/Society</t>
  </si>
  <si>
    <t>Tour Number</t>
  </si>
  <si>
    <t>Tour Dates</t>
  </si>
  <si>
    <t>Tour Destination</t>
  </si>
  <si>
    <t>Expenditure</t>
  </si>
  <si>
    <t>Units</t>
  </si>
  <si>
    <t>Price/Unit</t>
  </si>
  <si>
    <t>Fixed</t>
  </si>
  <si>
    <t>Total Fixed Expenditure</t>
  </si>
  <si>
    <t>Variable</t>
  </si>
  <si>
    <t>Total Variable Expenditure</t>
  </si>
  <si>
    <t>Total Expenditure</t>
  </si>
  <si>
    <t>Income</t>
  </si>
  <si>
    <t>Total Fixed Income</t>
  </si>
  <si>
    <t>ICU Tour Grant</t>
  </si>
  <si>
    <t>Student Tickets</t>
  </si>
  <si>
    <t>Non-Student Tickets</t>
  </si>
  <si>
    <t>Total Variable Income</t>
  </si>
  <si>
    <t>Total Income</t>
  </si>
  <si>
    <t>VAT Payable</t>
  </si>
  <si>
    <t>Profit/(Loss)</t>
  </si>
  <si>
    <t>Breakeven Analysis (80% - 100% attendence)</t>
  </si>
  <si>
    <t>Attendees</t>
  </si>
  <si>
    <t>In</t>
  </si>
  <si>
    <t>Out</t>
  </si>
  <si>
    <t>VAT</t>
  </si>
  <si>
    <t>P/(L)</t>
  </si>
  <si>
    <t>Unit Price</t>
  </si>
  <si>
    <t>Units/Person</t>
  </si>
  <si>
    <t>Yes</t>
  </si>
  <si>
    <t>No</t>
  </si>
  <si>
    <t>example: seven days minibus hire - 16 seater with roof rack</t>
  </si>
  <si>
    <t>example: food - for ten people for seven days</t>
  </si>
  <si>
    <t>INCOME</t>
  </si>
  <si>
    <t>AUTHORISATION</t>
  </si>
  <si>
    <t>Approved by:</t>
  </si>
  <si>
    <t>Club Chair / Treasurer</t>
  </si>
  <si>
    <t>CSC / FU Chair / Treasurer</t>
  </si>
  <si>
    <t>Name</t>
  </si>
  <si>
    <t>Signed</t>
  </si>
  <si>
    <t>Date</t>
  </si>
  <si>
    <t>Start</t>
  </si>
  <si>
    <t>End</t>
  </si>
  <si>
    <t>Tour Period</t>
  </si>
  <si>
    <t>FIXED INCOME - Description</t>
  </si>
  <si>
    <t>VARIABLE INCOME - Description</t>
  </si>
  <si>
    <t>Tour Budget</t>
  </si>
  <si>
    <t>Total (Gross)</t>
  </si>
  <si>
    <t>Tour Participants (Students)</t>
  </si>
  <si>
    <t>Tour Participants (Non-Students)</t>
  </si>
  <si>
    <t>FIXED EXPENDITURE - Description</t>
  </si>
  <si>
    <t>VARIABLE EXPENDITURE - Description</t>
  </si>
  <si>
    <t>per person</t>
  </si>
  <si>
    <t>and</t>
  </si>
  <si>
    <t>will cost non-ICU student member tour participants</t>
  </si>
  <si>
    <t>between</t>
  </si>
  <si>
    <t>will cost each ICU student member tour participant</t>
  </si>
  <si>
    <t>-</t>
  </si>
  <si>
    <t>depending on the amount of travel subsidy received from ICU</t>
  </si>
  <si>
    <t>Other Participants</t>
  </si>
  <si>
    <t>Travel</t>
  </si>
  <si>
    <t>Non-Travel</t>
  </si>
  <si>
    <t>TRAVEL EXPENSES - Description</t>
  </si>
  <si>
    <t>NON-TRAVEL EXPENSES - Description</t>
  </si>
  <si>
    <t>Subsidy?</t>
  </si>
  <si>
    <t>SUMMARY EXPENDITURE</t>
  </si>
  <si>
    <t>Non-travel expenses</t>
  </si>
  <si>
    <t>Travel expenses</t>
  </si>
  <si>
    <t>Tour Subsidy Rate</t>
  </si>
  <si>
    <t>Non Travel</t>
  </si>
  <si>
    <t>Subsidy Rate</t>
  </si>
  <si>
    <t>You're advised to collect non-returnable deposits from every tour participant. Ideally, income from deposits should cover all fixed expenditure, to ensure the club/other tour participants do not loose out financially from last-minute people dropping out.</t>
  </si>
  <si>
    <t>per ICU student member</t>
  </si>
  <si>
    <t>TOUR SUBSIDY</t>
  </si>
  <si>
    <t>ICU Student Member</t>
  </si>
  <si>
    <t>Applied for</t>
  </si>
  <si>
    <t>Amount awarded</t>
  </si>
  <si>
    <t>COST OF TOUR TO TOUR PARTICIPANTS</t>
  </si>
  <si>
    <t>Participant</t>
  </si>
  <si>
    <t>Non ICU Student Member</t>
  </si>
  <si>
    <t>Minimum Cost / Person</t>
  </si>
  <si>
    <t>Number</t>
  </si>
  <si>
    <t>travel subsidy, which works out at</t>
  </si>
  <si>
    <t>* Tour Cost / Person</t>
  </si>
  <si>
    <t>* You are advised to charge tour participants at least 10% more than the minimum tour cost per person. This is contingency money which can be used to cover unforseen expenditure on the tour.</t>
  </si>
  <si>
    <t>THE FOLLOWING SECTION IS TO BE COMPLETED BY THE TOUR LEADER ONLY AFTER THE ASSOCIATED TOUR PROPOSAL HAS BEEN APPROVED AND TOUR SUBSIDIES ALLOCATED</t>
  </si>
  <si>
    <t>Recommended minimum tour deposit charge:</t>
  </si>
  <si>
    <t>I C U    T O U R    A P P L I C A T I O N    F O R M</t>
  </si>
  <si>
    <t>example: Brewery sponsorship deal</t>
  </si>
  <si>
    <t>SUMMARY INFORMATION</t>
  </si>
  <si>
    <t>Please do not insert more rows into the expediture and income tables otherwise information will be lost when processing. If you run out of room you will have to double up on similar items - see example below</t>
  </si>
  <si>
    <t>If you run out of room in a box you are going into more detail than is required here.</t>
  </si>
  <si>
    <t>example: 7 days, 16 seater minibus hire @ £375 &amp; fuel 1000miles @ 18p/mile = £180</t>
  </si>
  <si>
    <t>Units/attendee</t>
  </si>
  <si>
    <t>PURPOSE OF TOUR</t>
  </si>
  <si>
    <t>Cost/Person</t>
  </si>
  <si>
    <t>(Use &lt;Alt&gt;&lt;Rtn&gt; to insert a carriage return within the comments)</t>
  </si>
  <si>
    <t xml:space="preserve">TOUR PROPOSAL AND SUBSIDY APPLICATION FORM </t>
  </si>
  <si>
    <t>T O U R    B U D G E T</t>
  </si>
  <si>
    <t>Per ICU Student Member</t>
  </si>
  <si>
    <t>Total for this tour</t>
  </si>
  <si>
    <t>Please do not alter the font or cell size otherwise information may be lost when processing.</t>
  </si>
  <si>
    <t>TOTAL</t>
  </si>
  <si>
    <t>Tour travel subsidy claim</t>
  </si>
  <si>
    <t>IMPORTANT - Before printing, click on drop down arrow and select "separate travel" to ensure latest version is printed.</t>
  </si>
  <si>
    <t>Centre</t>
  </si>
  <si>
    <t>OffComms_1.OCDesc</t>
  </si>
  <si>
    <t>OffComms.OCDesc</t>
  </si>
  <si>
    <t>ClubMembers</t>
  </si>
  <si>
    <t>Freshers</t>
  </si>
  <si>
    <t>last 2 years</t>
  </si>
  <si>
    <t>ACC Football</t>
  </si>
  <si>
    <t>ACC Badminton</t>
  </si>
  <si>
    <t>ACC Basketball</t>
  </si>
  <si>
    <t>ACC Boardsailing</t>
  </si>
  <si>
    <t>ACC Boat</t>
  </si>
  <si>
    <t>ACC Cricket</t>
  </si>
  <si>
    <t>ACC Cross Country</t>
  </si>
  <si>
    <t>ACC Cycling</t>
  </si>
  <si>
    <t>ACC Fencing</t>
  </si>
  <si>
    <t>ACC Golf</t>
  </si>
  <si>
    <t>ACC Hockey</t>
  </si>
  <si>
    <t>ACC Judo</t>
  </si>
  <si>
    <t>ACC Karate Shotokan</t>
  </si>
  <si>
    <t>ACC Kung Fu</t>
  </si>
  <si>
    <t>ACC Lawn Tennis</t>
  </si>
  <si>
    <t>ACC Netball</t>
  </si>
  <si>
    <t>ACC Orienteering</t>
  </si>
  <si>
    <t>ACC Rifle &amp; Pistol</t>
  </si>
  <si>
    <t>ACC Rugby</t>
  </si>
  <si>
    <t>ACC Sailing</t>
  </si>
  <si>
    <t>ACC Shaolin Kung Fu</t>
  </si>
  <si>
    <t>ACC Squash</t>
  </si>
  <si>
    <t>ACC Table Tennis</t>
  </si>
  <si>
    <t>ACC Ten Pin Bowling</t>
  </si>
  <si>
    <t>ACC Volleyball</t>
  </si>
  <si>
    <t>ACC Wing Chun</t>
  </si>
  <si>
    <t>ACC Yacht</t>
  </si>
  <si>
    <t>ACC Ultimate Frisbee</t>
  </si>
  <si>
    <t>ACC Karate do Shotokai</t>
  </si>
  <si>
    <t>ACC Kendo</t>
  </si>
  <si>
    <t>ACC Shorinji Kempo</t>
  </si>
  <si>
    <t>ACC Archery</t>
  </si>
  <si>
    <t>ACC Aikido</t>
  </si>
  <si>
    <t>ACC Kickboxing</t>
  </si>
  <si>
    <t>ACC Tae Kwon Do</t>
  </si>
  <si>
    <t>055</t>
  </si>
  <si>
    <t>ACC Capoeira</t>
  </si>
  <si>
    <t>058</t>
  </si>
  <si>
    <t>ACC Curling</t>
  </si>
  <si>
    <t>RCC Billiards &amp; Snooker</t>
  </si>
  <si>
    <t>RCC Bridge</t>
  </si>
  <si>
    <t>RCC Juggling</t>
  </si>
  <si>
    <t>RCC Canoe</t>
  </si>
  <si>
    <t>RCC Caving</t>
  </si>
  <si>
    <t>RCC Chess</t>
  </si>
  <si>
    <t>ACC Dance</t>
  </si>
  <si>
    <t>RCC Exploration</t>
  </si>
  <si>
    <t>RCC Fellwanderers</t>
  </si>
  <si>
    <t>RCC Fitness</t>
  </si>
  <si>
    <t>RCC Gliding</t>
  </si>
  <si>
    <t>RCC Mountaineering</t>
  </si>
  <si>
    <t>RCC Parachute</t>
  </si>
  <si>
    <t>Media Photographic</t>
  </si>
  <si>
    <t>RCC Origami</t>
  </si>
  <si>
    <t>RCC Outdoor Club</t>
  </si>
  <si>
    <t>122</t>
  </si>
  <si>
    <t>RSM Real Ale</t>
  </si>
  <si>
    <t>RCC Skate</t>
  </si>
  <si>
    <t>RCC Underwater</t>
  </si>
  <si>
    <t>RCC War Games</t>
  </si>
  <si>
    <t>RCC Wine Tasting</t>
  </si>
  <si>
    <t>RCC Yoga</t>
  </si>
  <si>
    <t>RCC Sports Motorcycle</t>
  </si>
  <si>
    <t>RCC Linux Users Group</t>
  </si>
  <si>
    <t>RCC Table Football</t>
  </si>
  <si>
    <t>RCC Ice Hockey</t>
  </si>
  <si>
    <t>RCC Meat Appreciation</t>
  </si>
  <si>
    <t>RCC Croquet Club</t>
  </si>
  <si>
    <t>RCC Curry</t>
  </si>
  <si>
    <t>RCC Poker</t>
  </si>
  <si>
    <t>RCC Paintball</t>
  </si>
  <si>
    <t>RCC Airsoft</t>
  </si>
  <si>
    <t>145</t>
  </si>
  <si>
    <t>RCC Mah Jong</t>
  </si>
  <si>
    <t>146</t>
  </si>
  <si>
    <t>RCC Fashion</t>
  </si>
  <si>
    <t>RCC Ferret Fanciers</t>
  </si>
  <si>
    <t>SCC ABACUS</t>
  </si>
  <si>
    <t>204</t>
  </si>
  <si>
    <t>SCC Ahlul Bayt</t>
  </si>
  <si>
    <t>SCC Alternative Music</t>
  </si>
  <si>
    <t>SCC Anime</t>
  </si>
  <si>
    <t>SCC Art Appreciation</t>
  </si>
  <si>
    <t>210</t>
  </si>
  <si>
    <t>SCC Ahmadiyya Muslim Students Association</t>
  </si>
  <si>
    <t>217</t>
  </si>
  <si>
    <t>SCC Buddhist Society</t>
  </si>
  <si>
    <t>SCC Catholic</t>
  </si>
  <si>
    <t>SCC Christian Union</t>
  </si>
  <si>
    <t>SCC Christian Student Action</t>
  </si>
  <si>
    <t>SCC Conservative</t>
  </si>
  <si>
    <t>SCC Debating</t>
  </si>
  <si>
    <t>SCC Environmental</t>
  </si>
  <si>
    <t>229</t>
  </si>
  <si>
    <t>CGU Exec</t>
  </si>
  <si>
    <t>CGU EWB</t>
  </si>
  <si>
    <t>SCC Erasmus</t>
  </si>
  <si>
    <t>232</t>
  </si>
  <si>
    <t>SCC Finance</t>
  </si>
  <si>
    <t>234</t>
  </si>
  <si>
    <t>SCC Hindu Student Forum</t>
  </si>
  <si>
    <t>237</t>
  </si>
  <si>
    <t>SCC IC Portal</t>
  </si>
  <si>
    <t>SCC I.Q.</t>
  </si>
  <si>
    <t>SCC Int. Tamil</t>
  </si>
  <si>
    <t>SCC Islamic</t>
  </si>
  <si>
    <t>SCC Jewish</t>
  </si>
  <si>
    <t>SCC Labour</t>
  </si>
  <si>
    <t>SCC Law</t>
  </si>
  <si>
    <t>SCC Palestinian Soc</t>
  </si>
  <si>
    <t>SCC Rocksoc</t>
  </si>
  <si>
    <t>SCC Student Pugwash</t>
  </si>
  <si>
    <t>SCC Sikh</t>
  </si>
  <si>
    <t>SCC Socialist Worker</t>
  </si>
  <si>
    <t>271</t>
  </si>
  <si>
    <t>SCC Socialist Students</t>
  </si>
  <si>
    <t>SCC Model United Nations</t>
  </si>
  <si>
    <t>278</t>
  </si>
  <si>
    <t>SCC UNICEF</t>
  </si>
  <si>
    <t>282</t>
  </si>
  <si>
    <t>283</t>
  </si>
  <si>
    <t>SCC Student Respect</t>
  </si>
  <si>
    <t>284</t>
  </si>
  <si>
    <t>SCC Russian Speaking</t>
  </si>
  <si>
    <t>285</t>
  </si>
  <si>
    <t>SCC Cheese</t>
  </si>
  <si>
    <t>OSC Arabic</t>
  </si>
  <si>
    <t>OSC Bangladeshi</t>
  </si>
  <si>
    <t>OSC Chinese</t>
  </si>
  <si>
    <t>OSC CSSA</t>
  </si>
  <si>
    <t>OSC Cypriot</t>
  </si>
  <si>
    <t>OSC French</t>
  </si>
  <si>
    <t>OSC Hellenic</t>
  </si>
  <si>
    <t>OSC Indian</t>
  </si>
  <si>
    <t>OSC Iranian</t>
  </si>
  <si>
    <t>OSC Italian</t>
  </si>
  <si>
    <t>OSC Japanese</t>
  </si>
  <si>
    <t>OSC Korean</t>
  </si>
  <si>
    <t>OSC Lebanese</t>
  </si>
  <si>
    <t>OSC Malaysian</t>
  </si>
  <si>
    <t>OSC Mauritian</t>
  </si>
  <si>
    <t>OSC Pakistan</t>
  </si>
  <si>
    <t>OSC Scandinavian</t>
  </si>
  <si>
    <t>OSC Singapore</t>
  </si>
  <si>
    <t>OSC Spanish</t>
  </si>
  <si>
    <t>OSC Sri-Lankan</t>
  </si>
  <si>
    <t>OSC Taiwan</t>
  </si>
  <si>
    <t>OSC Thai</t>
  </si>
  <si>
    <t>OSC Turkish</t>
  </si>
  <si>
    <t>OSC German</t>
  </si>
  <si>
    <t>OSC Latin-American</t>
  </si>
  <si>
    <t>OSC Indonesian</t>
  </si>
  <si>
    <t>OSC Kenyan</t>
  </si>
  <si>
    <t>OSC Croatian</t>
  </si>
  <si>
    <t>OSC Iraqi</t>
  </si>
  <si>
    <t>OSC Portuguese</t>
  </si>
  <si>
    <t>OSC Polish</t>
  </si>
  <si>
    <t>335</t>
  </si>
  <si>
    <t>OSC Bruneian</t>
  </si>
  <si>
    <t>380</t>
  </si>
  <si>
    <t>381</t>
  </si>
  <si>
    <t>Media Felix</t>
  </si>
  <si>
    <t>382</t>
  </si>
  <si>
    <t>Media STOIC</t>
  </si>
  <si>
    <t>383</t>
  </si>
  <si>
    <t>Media IC Radio</t>
  </si>
  <si>
    <t>A&amp;E Exec</t>
  </si>
  <si>
    <t>401</t>
  </si>
  <si>
    <t>A&amp;E Orchestra</t>
  </si>
  <si>
    <t>402</t>
  </si>
  <si>
    <t>A&amp;E Sinfonietta</t>
  </si>
  <si>
    <t>403</t>
  </si>
  <si>
    <t>A&amp;E Choir</t>
  </si>
  <si>
    <t>405</t>
  </si>
  <si>
    <t>A&amp;E LeoSoc</t>
  </si>
  <si>
    <t>406</t>
  </si>
  <si>
    <t>A&amp;E Dramatic Society</t>
  </si>
  <si>
    <t>408</t>
  </si>
  <si>
    <t>A&amp;E Jazz Big Band</t>
  </si>
  <si>
    <t>A&amp;E Contemporary</t>
  </si>
  <si>
    <t>411</t>
  </si>
  <si>
    <t>A&amp;E ICU Cinema</t>
  </si>
  <si>
    <t>412</t>
  </si>
  <si>
    <t>A&amp;E Chamber Music</t>
  </si>
  <si>
    <t>413</t>
  </si>
  <si>
    <t>A&amp;E Jazz &amp; Rock</t>
  </si>
  <si>
    <t>A&amp;E Musical Theatre</t>
  </si>
  <si>
    <t>416</t>
  </si>
  <si>
    <t>A&amp;E Musical Theatre Tour</t>
  </si>
  <si>
    <t>417</t>
  </si>
  <si>
    <t>A&amp;E String Ensemble</t>
  </si>
  <si>
    <t>501</t>
  </si>
  <si>
    <t>503</t>
  </si>
  <si>
    <t>504</t>
  </si>
  <si>
    <t>Wye Christian Union</t>
  </si>
  <si>
    <t>507</t>
  </si>
  <si>
    <t>Wye Environment &amp; Wildlife</t>
  </si>
  <si>
    <t>512</t>
  </si>
  <si>
    <t>517</t>
  </si>
  <si>
    <t>518</t>
  </si>
  <si>
    <t>519</t>
  </si>
  <si>
    <t>Wye Basketball</t>
  </si>
  <si>
    <t>523</t>
  </si>
  <si>
    <t>Wye Entertainments</t>
  </si>
  <si>
    <t>529</t>
  </si>
  <si>
    <t>Wye Netball</t>
  </si>
  <si>
    <t>Silwood Exec</t>
  </si>
  <si>
    <t>Silwood Ents</t>
  </si>
  <si>
    <t>Silwood Escape</t>
  </si>
  <si>
    <t>Silwood Gardening</t>
  </si>
  <si>
    <t>573</t>
  </si>
  <si>
    <t>Silwood Frisbee</t>
  </si>
  <si>
    <t>Silwood International</t>
  </si>
  <si>
    <t>Silwood Music</t>
  </si>
  <si>
    <t>600</t>
  </si>
  <si>
    <t>CGU Aeronautics</t>
  </si>
  <si>
    <t>CGU Chem Eng</t>
  </si>
  <si>
    <t>CGU Elec Eng</t>
  </si>
  <si>
    <t>CGU Civil Eng</t>
  </si>
  <si>
    <t>CGU Doc Soc</t>
  </si>
  <si>
    <t>CGU Mech Eng</t>
  </si>
  <si>
    <t>CGU Rugby</t>
  </si>
  <si>
    <t>CGU Motor Club</t>
  </si>
  <si>
    <t>CGU Racing</t>
  </si>
  <si>
    <t>CGU VVMC</t>
  </si>
  <si>
    <t>618</t>
  </si>
  <si>
    <t>CGU IMASE</t>
  </si>
  <si>
    <t>629</t>
  </si>
  <si>
    <t>CGU SSETI</t>
  </si>
  <si>
    <t>630</t>
  </si>
  <si>
    <t>Physical Sciences Chemistry</t>
  </si>
  <si>
    <t>Physical Sciences Maths</t>
  </si>
  <si>
    <t>Physical Sciences Physics</t>
  </si>
  <si>
    <t>RCC Astro</t>
  </si>
  <si>
    <t>RCSU Motor</t>
  </si>
  <si>
    <t>645</t>
  </si>
  <si>
    <t>RSM Exec</t>
  </si>
  <si>
    <t>RSM Materials</t>
  </si>
  <si>
    <t>647</t>
  </si>
  <si>
    <t>RSM De La Beche</t>
  </si>
  <si>
    <t>648</t>
  </si>
  <si>
    <t>650</t>
  </si>
  <si>
    <t>651</t>
  </si>
  <si>
    <t>652</t>
  </si>
  <si>
    <t>653</t>
  </si>
  <si>
    <t>RSM Golf</t>
  </si>
  <si>
    <t>655</t>
  </si>
  <si>
    <t>ICSMSU Exec</t>
  </si>
  <si>
    <t>656</t>
  </si>
  <si>
    <t>ICSMSU Football</t>
  </si>
  <si>
    <t>657</t>
  </si>
  <si>
    <t>658</t>
  </si>
  <si>
    <t>ICSMSU Badminton</t>
  </si>
  <si>
    <t>659</t>
  </si>
  <si>
    <t>ICSMSU Basketball</t>
  </si>
  <si>
    <t>660</t>
  </si>
  <si>
    <t>ICSMSU Boat</t>
  </si>
  <si>
    <t>ICSMSU Cricket</t>
  </si>
  <si>
    <t>ICSMSU Hockey</t>
  </si>
  <si>
    <t>665</t>
  </si>
  <si>
    <t>668</t>
  </si>
  <si>
    <t>ICSMSU Lacrosse</t>
  </si>
  <si>
    <t>ICSMSU Tennis</t>
  </si>
  <si>
    <t>670</t>
  </si>
  <si>
    <t>ICSMSU Netball</t>
  </si>
  <si>
    <t>671</t>
  </si>
  <si>
    <t>ICSMSU Rugby</t>
  </si>
  <si>
    <t>673</t>
  </si>
  <si>
    <t>ICSMSU Sailing</t>
  </si>
  <si>
    <t>ICSMSU Squash</t>
  </si>
  <si>
    <t>676</t>
  </si>
  <si>
    <t>ICSMSU Water Polo</t>
  </si>
  <si>
    <t>ICSMSU Drama</t>
  </si>
  <si>
    <t>679</t>
  </si>
  <si>
    <t>ICSMSU Music</t>
  </si>
  <si>
    <t>680</t>
  </si>
  <si>
    <t>RCC Funkology</t>
  </si>
  <si>
    <t>ICSMSU MedSIN</t>
  </si>
  <si>
    <t>682</t>
  </si>
  <si>
    <t>ICSMSU Mountaineering</t>
  </si>
  <si>
    <t>ICSMSU Subaqua</t>
  </si>
  <si>
    <t>686</t>
  </si>
  <si>
    <t>ICSMSU Yoga</t>
  </si>
  <si>
    <t>687</t>
  </si>
  <si>
    <t>688</t>
  </si>
  <si>
    <t>689</t>
  </si>
  <si>
    <t>ICSMSU Weights &amp; Fitness</t>
  </si>
  <si>
    <t>690</t>
  </si>
  <si>
    <t>ICSMSU Rag</t>
  </si>
  <si>
    <t>691</t>
  </si>
  <si>
    <t>699</t>
  </si>
  <si>
    <t>ICSMSU Surgical Soc</t>
  </si>
  <si>
    <t>755</t>
  </si>
  <si>
    <t>IC Union</t>
  </si>
  <si>
    <t>Community Action Group</t>
  </si>
  <si>
    <t>757</t>
  </si>
  <si>
    <t>ICU Rag</t>
  </si>
  <si>
    <t>RCC Dance Company</t>
  </si>
  <si>
    <t>Union Council</t>
  </si>
  <si>
    <t>Graduate Students Association</t>
  </si>
  <si>
    <t>971</t>
  </si>
  <si>
    <t>Exec Committee</t>
  </si>
  <si>
    <t>972</t>
  </si>
  <si>
    <t>Student Activities Committee</t>
  </si>
  <si>
    <t>974</t>
  </si>
  <si>
    <t>Academic Affairs Committee</t>
  </si>
  <si>
    <t>975</t>
  </si>
  <si>
    <t>Welfare Committee</t>
  </si>
  <si>
    <t>976</t>
  </si>
  <si>
    <t>977</t>
  </si>
  <si>
    <t>Health &amp; Safety Committee</t>
  </si>
  <si>
    <t>Student Development Committee</t>
  </si>
  <si>
    <t>981</t>
  </si>
  <si>
    <t>Academic Affairs &amp; Welfare Committee</t>
  </si>
  <si>
    <t>982</t>
  </si>
  <si>
    <t>Elections Committee</t>
  </si>
  <si>
    <t>983</t>
  </si>
  <si>
    <t>SAC - Clubs SubCommitee</t>
  </si>
  <si>
    <t>ACC Womens Football</t>
  </si>
  <si>
    <t>ACC Ju-Jitsu</t>
  </si>
  <si>
    <t>ACC Womens Rugby</t>
  </si>
  <si>
    <t>ACC Snowsports</t>
  </si>
  <si>
    <t>ACC Swim/Waterpolo</t>
  </si>
  <si>
    <t>ACC Riding &amp; Polo</t>
  </si>
  <si>
    <t>ACC BUSA</t>
  </si>
  <si>
    <t>ACC Chinese Wushu</t>
  </si>
  <si>
    <t>057</t>
  </si>
  <si>
    <t>Varsity Match</t>
  </si>
  <si>
    <t>RCC Computer Games</t>
  </si>
  <si>
    <t>RCC St John LINKS</t>
  </si>
  <si>
    <t>RCC D of E</t>
  </si>
  <si>
    <t>RCC Wakeboarding</t>
  </si>
  <si>
    <t>148</t>
  </si>
  <si>
    <t>RCC Backgammon</t>
  </si>
  <si>
    <t>149</t>
  </si>
  <si>
    <t>RCC Belly Dancing</t>
  </si>
  <si>
    <t>150</t>
  </si>
  <si>
    <t>RCC Synchronized Swimming</t>
  </si>
  <si>
    <t>SCC Amnesty International</t>
  </si>
  <si>
    <t>228</t>
  </si>
  <si>
    <t>SCC Imperial Entrepreneurs</t>
  </si>
  <si>
    <t>231</t>
  </si>
  <si>
    <t>SCC Fairtrade</t>
  </si>
  <si>
    <t>SCC Film</t>
  </si>
  <si>
    <t>SCC Political Philosophy</t>
  </si>
  <si>
    <t>SCC Every Nation Christian</t>
  </si>
  <si>
    <t>252</t>
  </si>
  <si>
    <t>SCC Liberal Democrats</t>
  </si>
  <si>
    <t>286</t>
  </si>
  <si>
    <t>SCC Welsh</t>
  </si>
  <si>
    <t>287</t>
  </si>
  <si>
    <t>SCC MTO Sufi</t>
  </si>
  <si>
    <t>288</t>
  </si>
  <si>
    <t>SCC Friends of MSF</t>
  </si>
  <si>
    <t>289</t>
  </si>
  <si>
    <t>SCC Punjabi</t>
  </si>
  <si>
    <t>290</t>
  </si>
  <si>
    <t>SCC Risk Management</t>
  </si>
  <si>
    <t>OSC Afro-Caribbean</t>
  </si>
  <si>
    <t>336</t>
  </si>
  <si>
    <t>OSC West Indian Society</t>
  </si>
  <si>
    <t>337</t>
  </si>
  <si>
    <t>OSC Canadian</t>
  </si>
  <si>
    <t>338</t>
  </si>
  <si>
    <t>OSC Czecho-Slovak</t>
  </si>
  <si>
    <t>418</t>
  </si>
  <si>
    <t>A&amp;E Gospel Choir</t>
  </si>
  <si>
    <t>Wye International Students Organisation</t>
  </si>
  <si>
    <t>522</t>
  </si>
  <si>
    <t>Wye Club Equip Underspend</t>
  </si>
  <si>
    <t>525</t>
  </si>
  <si>
    <t>Wye Cricket Week</t>
  </si>
  <si>
    <t>526</t>
  </si>
  <si>
    <t>Wye Charity Week</t>
  </si>
  <si>
    <t>527</t>
  </si>
  <si>
    <t>Wye Mercery</t>
  </si>
  <si>
    <t>528</t>
  </si>
  <si>
    <t>Trading &amp; Retail Committee</t>
  </si>
  <si>
    <t>Wye Vans</t>
  </si>
  <si>
    <t>531</t>
  </si>
  <si>
    <t>Wye Fashion Society</t>
  </si>
  <si>
    <t>532</t>
  </si>
  <si>
    <t>Wye Snooker Club</t>
  </si>
  <si>
    <t>533</t>
  </si>
  <si>
    <t>Wye Chinese Society</t>
  </si>
  <si>
    <t>534</t>
  </si>
  <si>
    <t>Wye Marketing Society</t>
  </si>
  <si>
    <t>535</t>
  </si>
  <si>
    <t>Wye Business Society</t>
  </si>
  <si>
    <t>Silwood Clubs</t>
  </si>
  <si>
    <t>593</t>
  </si>
  <si>
    <t>Silwood Vans</t>
  </si>
  <si>
    <t>608</t>
  </si>
  <si>
    <t>CGU Bio Engineering</t>
  </si>
  <si>
    <t>CGU Media</t>
  </si>
  <si>
    <t>619</t>
  </si>
  <si>
    <t>CGU Lord Mayors Show</t>
  </si>
  <si>
    <t>621</t>
  </si>
  <si>
    <t>CGU Internship</t>
  </si>
  <si>
    <t>CGU Internet &amp; Gadget</t>
  </si>
  <si>
    <t>628</t>
  </si>
  <si>
    <t>CGU ETHOS</t>
  </si>
  <si>
    <t>RCSU Exec</t>
  </si>
  <si>
    <t>BioSoc</t>
  </si>
  <si>
    <t>631</t>
  </si>
  <si>
    <t>Life Sciences BioChem</t>
  </si>
  <si>
    <t>636</t>
  </si>
  <si>
    <t>Physical Sciences JMC Soc</t>
  </si>
  <si>
    <t>CGU RSM Motor Club</t>
  </si>
  <si>
    <t>649</t>
  </si>
  <si>
    <t>RSMU FSO (FSW)</t>
  </si>
  <si>
    <t>ICSMSU Womens Football</t>
  </si>
  <si>
    <t>ICSMSU Jiu Jitsu (Aiuchi)</t>
  </si>
  <si>
    <t>ICSMSU Womens Hockey</t>
  </si>
  <si>
    <t>ICSMSU Muslim Medics</t>
  </si>
  <si>
    <t>ICSMSU Light Opera</t>
  </si>
  <si>
    <t>ICSMSU Arts &amp; Photo</t>
  </si>
  <si>
    <t>694</t>
  </si>
  <si>
    <t>ICSMSU Gazette</t>
  </si>
  <si>
    <t>695</t>
  </si>
  <si>
    <t>ICSMSU Yearbook</t>
  </si>
  <si>
    <t>710</t>
  </si>
  <si>
    <t>ICSMSU Soiree</t>
  </si>
  <si>
    <t>711</t>
  </si>
  <si>
    <t>ICSMSU Medical Education</t>
  </si>
  <si>
    <t>712</t>
  </si>
  <si>
    <t>ICSMSU Obstetrics &amp; Gynaecology</t>
  </si>
  <si>
    <t>713</t>
  </si>
  <si>
    <t>ICSMSU Tropical Medicine</t>
  </si>
  <si>
    <t>714</t>
  </si>
  <si>
    <t>ICSMSU General Practice</t>
  </si>
  <si>
    <t>722</t>
  </si>
  <si>
    <t>ICSMSU Athletics</t>
  </si>
  <si>
    <t>723</t>
  </si>
  <si>
    <t>ICSMSU Pilates</t>
  </si>
  <si>
    <t>730</t>
  </si>
  <si>
    <t>Royal College of Science Union Exec</t>
  </si>
  <si>
    <t>754</t>
  </si>
  <si>
    <t>Bike Users Group</t>
  </si>
  <si>
    <t>800</t>
  </si>
  <si>
    <t>Beit Office</t>
  </si>
  <si>
    <t>801</t>
  </si>
  <si>
    <t>Silwood Office</t>
  </si>
  <si>
    <t>802</t>
  </si>
  <si>
    <t>Wye Office</t>
  </si>
  <si>
    <t>805</t>
  </si>
  <si>
    <t>IC United</t>
  </si>
  <si>
    <t>806</t>
  </si>
  <si>
    <t>Sabbatical Officers</t>
  </si>
  <si>
    <t>810</t>
  </si>
  <si>
    <t>Trading General</t>
  </si>
  <si>
    <t>815</t>
  </si>
  <si>
    <t>Bar South Ken</t>
  </si>
  <si>
    <t>816</t>
  </si>
  <si>
    <t>Bar CX</t>
  </si>
  <si>
    <t>817</t>
  </si>
  <si>
    <t>Bar Wye</t>
  </si>
  <si>
    <t>820</t>
  </si>
  <si>
    <t>Shop Walkway</t>
  </si>
  <si>
    <t>822</t>
  </si>
  <si>
    <t>Shop Online</t>
  </si>
  <si>
    <t>830</t>
  </si>
  <si>
    <t>Catering General</t>
  </si>
  <si>
    <t>833</t>
  </si>
  <si>
    <t>Ents</t>
  </si>
  <si>
    <t>835</t>
  </si>
  <si>
    <t>Security &amp; Stewards</t>
  </si>
  <si>
    <t>840</t>
  </si>
  <si>
    <t>Room, Functions, Premises</t>
  </si>
  <si>
    <t>850</t>
  </si>
  <si>
    <t>Vans</t>
  </si>
  <si>
    <t>865</t>
  </si>
  <si>
    <t>Vending</t>
  </si>
  <si>
    <t>875</t>
  </si>
  <si>
    <t>Events</t>
  </si>
  <si>
    <t>885</t>
  </si>
  <si>
    <t>Advice</t>
  </si>
  <si>
    <t>890</t>
  </si>
  <si>
    <t>Volunteer</t>
  </si>
  <si>
    <t>Graduate Students Association Exec</t>
  </si>
  <si>
    <t>941</t>
  </si>
  <si>
    <t>GSA Business School</t>
  </si>
  <si>
    <t>942</t>
  </si>
  <si>
    <t>GSA Life Sciences</t>
  </si>
  <si>
    <t>943</t>
  </si>
  <si>
    <t>GSA Physical Sciences</t>
  </si>
  <si>
    <t>944</t>
  </si>
  <si>
    <t>GSA Engineering</t>
  </si>
  <si>
    <t>945</t>
  </si>
  <si>
    <t>GSA Medicine</t>
  </si>
  <si>
    <t>970</t>
  </si>
  <si>
    <t>973</t>
  </si>
  <si>
    <t>Accommodation Committee</t>
  </si>
  <si>
    <t>978</t>
  </si>
  <si>
    <t>Services Committee</t>
  </si>
  <si>
    <t>990</t>
  </si>
  <si>
    <t>Gen Reserves 1</t>
  </si>
  <si>
    <t>991</t>
  </si>
  <si>
    <t>Gen Reserves 2</t>
  </si>
  <si>
    <t>992</t>
  </si>
  <si>
    <t>MotorClubReserve</t>
  </si>
  <si>
    <t>999</t>
  </si>
  <si>
    <t>D00</t>
  </si>
  <si>
    <t>Reps - Aeronautics</t>
  </si>
  <si>
    <t>D01</t>
  </si>
  <si>
    <t>Reps - Bioengineering</t>
  </si>
  <si>
    <t>D02</t>
  </si>
  <si>
    <t>Reps - Chemical Engineering</t>
  </si>
  <si>
    <t>D03</t>
  </si>
  <si>
    <t>Reps - Chemistry</t>
  </si>
  <si>
    <t>D04</t>
  </si>
  <si>
    <t>Reps - Civil &amp; Environmental Engineering</t>
  </si>
  <si>
    <t>D05</t>
  </si>
  <si>
    <t>Reps - Computing</t>
  </si>
  <si>
    <t>D06</t>
  </si>
  <si>
    <t>Reps - Biology</t>
  </si>
  <si>
    <t>D07</t>
  </si>
  <si>
    <t>Reps - Earth Science and Engineering</t>
  </si>
  <si>
    <t>D08</t>
  </si>
  <si>
    <t>Reps - Electrical &amp; Electronic Engineering</t>
  </si>
  <si>
    <t>D09</t>
  </si>
  <si>
    <t>Reps - Life Sciences</t>
  </si>
  <si>
    <t>D10</t>
  </si>
  <si>
    <t>Reps - Mathematics</t>
  </si>
  <si>
    <t>D11</t>
  </si>
  <si>
    <t>Reps - Mechanical Engineering</t>
  </si>
  <si>
    <t>D12</t>
  </si>
  <si>
    <t>Reps - Materials</t>
  </si>
  <si>
    <t>D14</t>
  </si>
  <si>
    <t>Reps - Physics</t>
  </si>
  <si>
    <t>D15</t>
  </si>
  <si>
    <t>Reps - Medicine</t>
  </si>
  <si>
    <t>Carriage Income</t>
  </si>
  <si>
    <t>Acts</t>
  </si>
  <si>
    <t>Commission</t>
  </si>
  <si>
    <t>Cleaning</t>
  </si>
  <si>
    <t>Donations</t>
  </si>
  <si>
    <t>430</t>
  </si>
  <si>
    <t>Consumables</t>
  </si>
  <si>
    <t>Goods &amp; Services</t>
  </si>
  <si>
    <t>450</t>
  </si>
  <si>
    <t>Cultural Activities</t>
  </si>
  <si>
    <t>Grant Receivable</t>
  </si>
  <si>
    <t>470</t>
  </si>
  <si>
    <t>Decorations</t>
  </si>
  <si>
    <t>Rental Income</t>
  </si>
  <si>
    <t>Disposables</t>
  </si>
  <si>
    <t>Sales General</t>
  </si>
  <si>
    <t>520</t>
  </si>
  <si>
    <t>Equipment Hire</t>
  </si>
  <si>
    <t>Sales Other</t>
  </si>
  <si>
    <t>Goods for Resale</t>
  </si>
  <si>
    <t>705</t>
  </si>
  <si>
    <t>Sales 3</t>
  </si>
  <si>
    <t>540</t>
  </si>
  <si>
    <t>Grants Payable</t>
  </si>
  <si>
    <t>707</t>
  </si>
  <si>
    <t>Sponsorship</t>
  </si>
  <si>
    <t>Ground Hire</t>
  </si>
  <si>
    <t>Ticket Income</t>
  </si>
  <si>
    <t>Health &amp; Safety</t>
  </si>
  <si>
    <t>715</t>
  </si>
  <si>
    <t>Copyright &amp; Royalties</t>
  </si>
  <si>
    <t>725</t>
  </si>
  <si>
    <t>Hospitality</t>
  </si>
  <si>
    <t>Instructors</t>
  </si>
  <si>
    <t>735</t>
  </si>
  <si>
    <t>Insurance</t>
  </si>
  <si>
    <t>740</t>
  </si>
  <si>
    <t>Laundry</t>
  </si>
  <si>
    <t>Legal &amp; Professional</t>
  </si>
  <si>
    <t>760</t>
  </si>
  <si>
    <t>Licences</t>
  </si>
  <si>
    <t>765</t>
  </si>
  <si>
    <t>Music</t>
  </si>
  <si>
    <t>780</t>
  </si>
  <si>
    <t>Newpapers &amp; Magazines</t>
  </si>
  <si>
    <t>785</t>
  </si>
  <si>
    <t>Postage</t>
  </si>
  <si>
    <t>Printing Costs</t>
  </si>
  <si>
    <t>Publicity</t>
  </si>
  <si>
    <t>825</t>
  </si>
  <si>
    <t>Speakers</t>
  </si>
  <si>
    <t>842</t>
  </si>
  <si>
    <t>Staffing Costs</t>
  </si>
  <si>
    <t>855</t>
  </si>
  <si>
    <t>Stationery</t>
  </si>
  <si>
    <t>860</t>
  </si>
  <si>
    <t>895</t>
  </si>
  <si>
    <t>VAT Rate</t>
  </si>
  <si>
    <t>Gross</t>
  </si>
  <si>
    <t>Net</t>
  </si>
  <si>
    <t>Inc</t>
  </si>
  <si>
    <t>Std</t>
  </si>
  <si>
    <t>Ex</t>
  </si>
  <si>
    <t>Breakeven Analysis</t>
  </si>
  <si>
    <t>Inc/Ex VAT</t>
  </si>
  <si>
    <t>Event Name</t>
  </si>
  <si>
    <t>Event Date</t>
  </si>
  <si>
    <t>Event Budget</t>
  </si>
  <si>
    <t>% of Expected</t>
  </si>
  <si>
    <t>Budget Head</t>
  </si>
  <si>
    <t>The table and graph above show you the number of attendees and the profit/loss that you will make.  RED indicates a loss, BLACK indicates a profit.  The graph to the right shows this information and shows you at what number your costs &amp; income will breakeven.</t>
  </si>
  <si>
    <t>No. of ICU people on tour</t>
  </si>
  <si>
    <t>Total number of people</t>
  </si>
  <si>
    <t>Rate</t>
  </si>
  <si>
    <t>Zero</t>
  </si>
  <si>
    <t>e.g. Travel</t>
  </si>
  <si>
    <t>e.g.  Consumables</t>
  </si>
  <si>
    <t>Units/Head</t>
  </si>
  <si>
    <t>Student Tour Ticket</t>
  </si>
  <si>
    <t>Non Student Tour Ticket</t>
  </si>
  <si>
    <t>Vat</t>
  </si>
  <si>
    <t>Yes/No</t>
  </si>
  <si>
    <t>example: T-shirt sales</t>
  </si>
  <si>
    <t>Tour code</t>
  </si>
  <si>
    <t>Is this a sports club?</t>
  </si>
  <si>
    <t>Experienced Member</t>
  </si>
  <si>
    <t>Equipment Purchase</t>
  </si>
  <si>
    <t>685</t>
  </si>
  <si>
    <t>Flight Subsidy Rate</t>
  </si>
  <si>
    <t>Flight Subsidy</t>
  </si>
  <si>
    <t>Maximum travel subsidy eligible for this tour</t>
  </si>
  <si>
    <t>0%</t>
  </si>
  <si>
    <t>Flight?</t>
  </si>
  <si>
    <t>Maximum flight subsidy eligible for this tour</t>
  </si>
  <si>
    <t>Flight expenses</t>
  </si>
  <si>
    <t>Flight</t>
  </si>
  <si>
    <t>is eligible for up to</t>
  </si>
  <si>
    <t>Tour flight subsidy claim</t>
  </si>
  <si>
    <t>Huh? You have been allocated more subsidy than you're eligible for. Please check the value in cell N110 has been enterred correctly</t>
  </si>
  <si>
    <t>2008-09</t>
  </si>
  <si>
    <t>2007-06</t>
  </si>
  <si>
    <t>2006-05</t>
  </si>
  <si>
    <t>059</t>
  </si>
  <si>
    <t>060</t>
  </si>
  <si>
    <t>061</t>
  </si>
  <si>
    <t>062</t>
  </si>
  <si>
    <t>063</t>
  </si>
  <si>
    <t>151</t>
  </si>
  <si>
    <t>152</t>
  </si>
  <si>
    <t>153</t>
  </si>
  <si>
    <t>154</t>
  </si>
  <si>
    <t>155</t>
  </si>
  <si>
    <t>156</t>
  </si>
  <si>
    <t>157</t>
  </si>
  <si>
    <t>158</t>
  </si>
  <si>
    <t>159</t>
  </si>
  <si>
    <t>268</t>
  </si>
  <si>
    <t>273</t>
  </si>
  <si>
    <t>291</t>
  </si>
  <si>
    <t>292</t>
  </si>
  <si>
    <t>293</t>
  </si>
  <si>
    <t>294</t>
  </si>
  <si>
    <t>295</t>
  </si>
  <si>
    <t>296</t>
  </si>
  <si>
    <t>297</t>
  </si>
  <si>
    <t>298</t>
  </si>
  <si>
    <t>299</t>
  </si>
  <si>
    <t>327</t>
  </si>
  <si>
    <t>339</t>
  </si>
  <si>
    <t>340</t>
  </si>
  <si>
    <t>409</t>
  </si>
  <si>
    <t>414</t>
  </si>
  <si>
    <t>419</t>
  </si>
  <si>
    <t>451</t>
  </si>
  <si>
    <t>452</t>
  </si>
  <si>
    <t>453</t>
  </si>
  <si>
    <t>454</t>
  </si>
  <si>
    <t>455</t>
  </si>
  <si>
    <t>536</t>
  </si>
  <si>
    <t>537</t>
  </si>
  <si>
    <t>538</t>
  </si>
  <si>
    <t>539</t>
  </si>
  <si>
    <t>654</t>
  </si>
  <si>
    <t>698</t>
  </si>
  <si>
    <t>724</t>
  </si>
  <si>
    <t>726</t>
  </si>
  <si>
    <t>727</t>
  </si>
  <si>
    <t>728</t>
  </si>
  <si>
    <t>ACC American Football</t>
  </si>
  <si>
    <t>ACC Handball</t>
  </si>
  <si>
    <t>ACC Indoor Hockey</t>
  </si>
  <si>
    <t>ACC Gaelic Sports</t>
  </si>
  <si>
    <t>ACC Dodgeball</t>
  </si>
  <si>
    <t>RCC Parkour and Free Running Society</t>
  </si>
  <si>
    <t>RCC Web Design and Software</t>
  </si>
  <si>
    <t>RCC Racing Green</t>
  </si>
  <si>
    <t>RCC Gymnastics</t>
  </si>
  <si>
    <t>RCC Assassins Guild</t>
  </si>
  <si>
    <t>RCC Street Magic</t>
  </si>
  <si>
    <t>RCC KnitSock</t>
  </si>
  <si>
    <t>RCC Floorball</t>
  </si>
  <si>
    <t>RCC Power Kiting</t>
  </si>
  <si>
    <t>SCC Medical Humanities</t>
  </si>
  <si>
    <t>SCC Stop the War</t>
  </si>
  <si>
    <t>SCC Women in SET</t>
  </si>
  <si>
    <t>SCC Save the Children</t>
  </si>
  <si>
    <t>SCC Consultancy</t>
  </si>
  <si>
    <t>SCC Atheist And Agnostic</t>
  </si>
  <si>
    <t>SCC Libertarian Society</t>
  </si>
  <si>
    <t>SCC Tea Society</t>
  </si>
  <si>
    <t>SCC Book Club</t>
  </si>
  <si>
    <t>SCC Innovation Society</t>
  </si>
  <si>
    <t>SCC International Education</t>
  </si>
  <si>
    <t>OSC Irish</t>
  </si>
  <si>
    <t>OSC Mexican</t>
  </si>
  <si>
    <t>OSC Armenian</t>
  </si>
  <si>
    <t>A&amp;E Classical Guitar</t>
  </si>
  <si>
    <t>A&amp;E Music Technology</t>
  </si>
  <si>
    <t>A&amp;E Wind Band</t>
  </si>
  <si>
    <t>SCC Krishna Consciousness</t>
  </si>
  <si>
    <t>SCC Jain Society</t>
  </si>
  <si>
    <t>SCC Be Heartful Friends</t>
  </si>
  <si>
    <t>RCC VegSoc</t>
  </si>
  <si>
    <t>SCC Pass</t>
  </si>
  <si>
    <t>SCC SIFE</t>
  </si>
  <si>
    <t>Wye Dance</t>
  </si>
  <si>
    <t>Wye Investment</t>
  </si>
  <si>
    <t>Wye Table Tennis</t>
  </si>
  <si>
    <t>Wye Womens Volleyball</t>
  </si>
  <si>
    <t>Wye Capoeira</t>
  </si>
  <si>
    <t>RSM Geophys Soc</t>
  </si>
  <si>
    <t>RCC Surfing</t>
  </si>
  <si>
    <t>ICSMSU ICAB</t>
  </si>
  <si>
    <t>ICSMSU Debating Society</t>
  </si>
  <si>
    <t>ICSMSU Christian Medical Fellowship</t>
  </si>
  <si>
    <t>ICSMSU BioMed Society</t>
  </si>
  <si>
    <t>ICSMSU Darts</t>
  </si>
  <si>
    <t>ICSMSU EMSA</t>
  </si>
  <si>
    <t>Committee Member</t>
  </si>
  <si>
    <t>You are only required to fill in the blue boxes. White boxes will be automatically completed</t>
  </si>
  <si>
    <t>SCC ψφ</t>
  </si>
  <si>
    <t>Now go to the "tour proposal" worksheet and check everything is as you intended it to be. If you need to change anything you'll need to come back and alter the information on this page.  Once everything is as you intend, click here to submit your tour proposal to CSB to apply for Tour Subsidy and to the DPFS for budget authorization (don't forget to save and attach this workbook after selecting "Separate Travel" in the Tour Proposal sheet).</t>
  </si>
  <si>
    <r>
      <t xml:space="preserve">For a user friendly version, click on the drop down arrow (top left in cell A1) and select "Separate travel" to separate out the travel and non-travel expenses below.
</t>
    </r>
    <r>
      <rPr>
        <i/>
        <sz val="8"/>
        <rFont val="Calibri"/>
        <family val="2"/>
      </rPr>
      <t>If you get an error message when you click on this box, ignore it and click end.</t>
    </r>
  </si>
  <si>
    <r>
      <t>NOW go to the "</t>
    </r>
    <r>
      <rPr>
        <i/>
        <sz val="10"/>
        <color indexed="12"/>
        <rFont val="Calibri"/>
        <family val="2"/>
      </rPr>
      <t>tour budget</t>
    </r>
    <r>
      <rPr>
        <sz val="10"/>
        <color indexed="12"/>
        <rFont val="Calibri"/>
        <family val="2"/>
      </rPr>
      <t>" worksheet and check your tour budget. Pay particular attention to the breakeven analysis at the foot of the page. If you need to change anything come back to this worksheet (i.e. the tour application form) where the input data can be amended.</t>
    </r>
  </si>
  <si>
    <t>Exempt</t>
  </si>
  <si>
    <t>Standard</t>
  </si>
  <si>
    <t>40%</t>
  </si>
  <si>
    <t>20%</t>
  </si>
  <si>
    <t>Tour Budgeting Template 08-09 Ver 2.10 - Standard VAT Rules</t>
  </si>
  <si>
    <t>ACC Filipino Martial Arts</t>
  </si>
  <si>
    <t>SCC Bright Futures</t>
  </si>
  <si>
    <t>CGU Rail and Transport</t>
  </si>
  <si>
    <t>RCSU Rugby</t>
  </si>
  <si>
    <t>RCSU Football</t>
  </si>
  <si>
    <t>RCSU Hockey</t>
  </si>
  <si>
    <t>ICSMSU Asian Medical Students' Association</t>
  </si>
  <si>
    <t>064</t>
  </si>
  <si>
    <t>341</t>
  </si>
  <si>
    <t>638</t>
  </si>
  <si>
    <t>639</t>
  </si>
  <si>
    <t>642</t>
  </si>
  <si>
    <t>729</t>
  </si>
  <si>
    <t>Kirsty Reynolds</t>
  </si>
  <si>
    <t>Bude, Cornwall and surroundng areas</t>
  </si>
  <si>
    <t>UK</t>
  </si>
  <si>
    <t>2 mini buses hired for 3 days</t>
  </si>
  <si>
    <t>fuel</t>
  </si>
  <si>
    <t>accommodation</t>
  </si>
  <si>
    <t>kirsty.reynolds07</t>
  </si>
  <si>
    <t>The aim of the De La Beche Club winter tour is to examine some exciting and unusual geological sites that undergraduates would not normally visit or hear about in the course of their studies. We aim to investigate both classical geology sites and one related to economic geology. On this trip, we will examine the igneous and metamorphic geology of Cornwall, as well as visiting a mine site. An ex-RSM lecturer will lead the trip. The exact itinerary is still to be confirmed with the trip leader. NB. It is possible that the trip location may have to change, depending on what time the trip leaves London. We are in discussion with our department to find out if it is possible to leave at 12pm on the Friday. If this is not possible, the location will be changed to somewhere closer to London, most likely Malvern or the Breacon Beacons. However this would not drastically alter the trip budget &amp;#8211; the transport costs would still be the same and accommodation quotes are similar, as are the aims of the trip.</t>
  </si>
</sst>
</file>

<file path=xl/styles.xml><?xml version="1.0" encoding="utf-8"?>
<styleSheet xmlns="http://schemas.openxmlformats.org/spreadsheetml/2006/main">
  <numFmts count="8">
    <numFmt numFmtId="164" formatCode="_(* #,##0_);_(* \(#,##0\);_(* &quot;-&quot;_);_(@_)"/>
    <numFmt numFmtId="165" formatCode="_(* #,##0.00_);_(* \(#,##0.00\);_(* &quot;-&quot;??_);_(@_)"/>
    <numFmt numFmtId="166" formatCode="&quot;£&quot;#,##0.00_);[Red]\(&quot;£&quot;#,##0.00\)"/>
    <numFmt numFmtId="167" formatCode="_(&quot;£&quot;* #,##0.00_);_(&quot;£&quot;* \(#,##0.00\);_(&quot;£&quot;* &quot;-&quot;??_);_(@_)"/>
    <numFmt numFmtId="168" formatCode="_ &quot;£&quot;* #,##0.00_ ;_ &quot;£&quot;* \-#,##0.00_ ;_ &quot;£&quot;* &quot;-&quot;??_ ;_ @_ "/>
    <numFmt numFmtId="169" formatCode="[$-409]d\-mmm\-yy;@"/>
    <numFmt numFmtId="170" formatCode="_-* #,##0_-;\-* #,##0_-;_-* &quot;-&quot;??_-;_-@_-"/>
    <numFmt numFmtId="171" formatCode="&quot;£&quot;#,##0.00"/>
  </numFmts>
  <fonts count="45">
    <font>
      <sz val="10"/>
      <name val="Arial"/>
    </font>
    <font>
      <sz val="10"/>
      <name val="Arial"/>
    </font>
    <font>
      <b/>
      <sz val="12"/>
      <name val="Arial"/>
      <family val="2"/>
    </font>
    <font>
      <sz val="12"/>
      <name val="Arial"/>
      <family val="2"/>
    </font>
    <font>
      <sz val="10"/>
      <color indexed="8"/>
      <name val="Arial"/>
      <family val="2"/>
    </font>
    <font>
      <sz val="10"/>
      <color indexed="8"/>
      <name val="MS Sans Serif"/>
      <family val="2"/>
    </font>
    <font>
      <u/>
      <sz val="10"/>
      <color indexed="12"/>
      <name val="Arial"/>
      <family val="2"/>
    </font>
    <font>
      <u/>
      <sz val="10"/>
      <color indexed="36"/>
      <name val="Arial"/>
      <family val="2"/>
    </font>
    <font>
      <b/>
      <sz val="10"/>
      <name val="Arial"/>
      <family val="2"/>
    </font>
    <font>
      <b/>
      <sz val="10"/>
      <color indexed="10"/>
      <name val="Arial"/>
      <family val="2"/>
    </font>
    <font>
      <sz val="10"/>
      <color indexed="10"/>
      <name val="Arial"/>
      <family val="2"/>
    </font>
    <font>
      <sz val="10"/>
      <name val="Arial"/>
      <family val="2"/>
    </font>
    <font>
      <sz val="8"/>
      <name val="Arial"/>
      <family val="2"/>
    </font>
    <font>
      <i/>
      <sz val="8"/>
      <name val="Calibri"/>
      <family val="2"/>
    </font>
    <font>
      <sz val="10"/>
      <color indexed="12"/>
      <name val="Calibri"/>
      <family val="2"/>
    </font>
    <font>
      <i/>
      <sz val="10"/>
      <color indexed="12"/>
      <name val="Calibri"/>
      <family val="2"/>
    </font>
    <font>
      <sz val="10"/>
      <name val="Calibri"/>
      <family val="2"/>
    </font>
    <font>
      <b/>
      <sz val="8"/>
      <color indexed="10"/>
      <name val="Calibri"/>
      <family val="2"/>
    </font>
    <font>
      <sz val="12"/>
      <name val="Calibri"/>
      <family val="2"/>
    </font>
    <font>
      <b/>
      <sz val="14"/>
      <name val="Calibri"/>
      <family val="2"/>
    </font>
    <font>
      <b/>
      <sz val="10"/>
      <name val="Calibri"/>
      <family val="2"/>
    </font>
    <font>
      <sz val="7"/>
      <name val="Calibri"/>
      <family val="2"/>
    </font>
    <font>
      <sz val="16"/>
      <name val="Calibri"/>
      <family val="2"/>
    </font>
    <font>
      <b/>
      <sz val="12"/>
      <name val="Calibri"/>
      <family val="2"/>
    </font>
    <font>
      <i/>
      <sz val="10"/>
      <name val="Calibri"/>
      <family val="2"/>
    </font>
    <font>
      <sz val="8"/>
      <name val="Calibri"/>
      <family val="2"/>
    </font>
    <font>
      <sz val="1"/>
      <name val="Calibri"/>
      <family val="2"/>
    </font>
    <font>
      <sz val="12"/>
      <color indexed="10"/>
      <name val="Calibri"/>
      <family val="2"/>
    </font>
    <font>
      <sz val="7"/>
      <color indexed="12"/>
      <name val="Calibri"/>
      <family val="2"/>
    </font>
    <font>
      <sz val="9"/>
      <name val="Calibri"/>
      <family val="2"/>
    </font>
    <font>
      <sz val="9"/>
      <color indexed="9"/>
      <name val="Calibri"/>
      <family val="2"/>
    </font>
    <font>
      <b/>
      <sz val="10"/>
      <color indexed="9"/>
      <name val="Calibri"/>
      <family val="2"/>
    </font>
    <font>
      <sz val="8"/>
      <color indexed="10"/>
      <name val="Calibri"/>
      <family val="2"/>
    </font>
    <font>
      <sz val="10"/>
      <color indexed="10"/>
      <name val="Calibri"/>
      <family val="2"/>
    </font>
    <font>
      <sz val="10"/>
      <color indexed="9"/>
      <name val="Calibri"/>
      <family val="2"/>
    </font>
    <font>
      <b/>
      <sz val="10"/>
      <color indexed="10"/>
      <name val="Calibri"/>
      <family val="2"/>
    </font>
    <font>
      <sz val="9"/>
      <color indexed="31"/>
      <name val="Calibri"/>
      <family val="2"/>
    </font>
    <font>
      <u/>
      <sz val="10"/>
      <color indexed="12"/>
      <name val="Calibri"/>
      <family val="2"/>
    </font>
    <font>
      <b/>
      <sz val="20"/>
      <color indexed="9"/>
      <name val="Calibri"/>
      <family val="2"/>
    </font>
    <font>
      <sz val="8"/>
      <color indexed="12"/>
      <name val="Calibri"/>
      <family val="2"/>
    </font>
    <font>
      <b/>
      <sz val="10"/>
      <color indexed="12"/>
      <name val="Calibri"/>
      <family val="2"/>
    </font>
    <font>
      <sz val="10"/>
      <color indexed="12"/>
      <name val="Calibri"/>
      <family val="2"/>
    </font>
    <font>
      <sz val="11"/>
      <color indexed="8"/>
      <name val="Calibri"/>
      <family val="2"/>
    </font>
    <font>
      <sz val="11"/>
      <name val="Calibri"/>
      <family val="2"/>
    </font>
    <font>
      <sz val="10"/>
      <color indexed="8"/>
      <name val="Calibri"/>
      <family val="2"/>
    </font>
  </fonts>
  <fills count="1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0"/>
        <bgColor indexed="64"/>
      </patternFill>
    </fill>
    <fill>
      <patternFill patternType="solid">
        <fgColor indexed="44"/>
        <bgColor indexed="64"/>
      </patternFill>
    </fill>
    <fill>
      <patternFill patternType="solid">
        <fgColor indexed="13"/>
        <bgColor indexed="64"/>
      </patternFill>
    </fill>
    <fill>
      <patternFill patternType="solid">
        <fgColor indexed="53"/>
        <bgColor indexed="64"/>
      </patternFill>
    </fill>
    <fill>
      <patternFill patternType="solid">
        <fgColor indexed="22"/>
        <bgColor indexed="0"/>
      </patternFill>
    </fill>
    <fill>
      <patternFill patternType="solid">
        <fgColor indexed="10"/>
        <bgColor indexed="64"/>
      </patternFill>
    </fill>
    <fill>
      <patternFill patternType="solid">
        <fgColor indexed="47"/>
        <bgColor indexed="64"/>
      </patternFill>
    </fill>
    <fill>
      <patternFill patternType="solid">
        <fgColor indexed="8"/>
        <bgColor indexed="64"/>
      </patternFill>
    </fill>
    <fill>
      <patternFill patternType="solid">
        <fgColor indexed="26"/>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style="thin">
        <color indexed="22"/>
      </right>
      <top/>
      <bottom/>
      <diagonal/>
    </border>
    <border>
      <left style="thin">
        <color indexed="22"/>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165" fontId="1" fillId="0" borderId="0" applyFont="0" applyFill="0" applyBorder="0" applyAlignment="0" applyProtection="0"/>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4" fillId="0" borderId="0"/>
    <xf numFmtId="0" fontId="4" fillId="0" borderId="0"/>
    <xf numFmtId="9" fontId="1" fillId="0" borderId="0" applyFont="0" applyFill="0" applyBorder="0" applyAlignment="0" applyProtection="0"/>
  </cellStyleXfs>
  <cellXfs count="680">
    <xf numFmtId="0" fontId="0" fillId="0" borderId="0" xfId="0"/>
    <xf numFmtId="0" fontId="0" fillId="0" borderId="0" xfId="0" applyProtection="1"/>
    <xf numFmtId="169" fontId="0" fillId="0" borderId="0" xfId="0" applyNumberFormat="1"/>
    <xf numFmtId="170" fontId="0" fillId="0" borderId="0" xfId="1" applyNumberFormat="1" applyFont="1" applyProtection="1"/>
    <xf numFmtId="166" fontId="0" fillId="0" borderId="0" xfId="0" applyNumberFormat="1" applyProtection="1"/>
    <xf numFmtId="166" fontId="0" fillId="0" borderId="0" xfId="0" applyNumberFormat="1" applyFill="1" applyProtection="1"/>
    <xf numFmtId="166" fontId="0" fillId="0" borderId="2" xfId="0" applyNumberFormat="1" applyBorder="1" applyProtection="1"/>
    <xf numFmtId="166" fontId="0" fillId="0" borderId="3" xfId="0" applyNumberFormat="1" applyFill="1" applyBorder="1" applyProtection="1"/>
    <xf numFmtId="170" fontId="0" fillId="0" borderId="0" xfId="1" applyNumberFormat="1" applyFont="1" applyAlignment="1" applyProtection="1">
      <alignment horizontal="left"/>
    </xf>
    <xf numFmtId="166" fontId="0" fillId="0" borderId="0" xfId="0" applyNumberFormat="1" applyAlignment="1" applyProtection="1">
      <alignment horizontal="left"/>
    </xf>
    <xf numFmtId="0" fontId="0" fillId="0" borderId="0" xfId="0" applyAlignment="1" applyProtection="1">
      <alignment horizontal="left"/>
    </xf>
    <xf numFmtId="166" fontId="0" fillId="0" borderId="4" xfId="0" applyNumberFormat="1" applyBorder="1" applyProtection="1"/>
    <xf numFmtId="15" fontId="8" fillId="0" borderId="0" xfId="1" applyNumberFormat="1" applyFont="1" applyBorder="1" applyAlignment="1" applyProtection="1">
      <alignment horizontal="center"/>
    </xf>
    <xf numFmtId="0" fontId="9"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2" fillId="0" borderId="0" xfId="0" applyFont="1" applyProtection="1"/>
    <xf numFmtId="166" fontId="0" fillId="0" borderId="0" xfId="0" applyNumberFormat="1" applyBorder="1" applyProtection="1"/>
    <xf numFmtId="166" fontId="0" fillId="0" borderId="0" xfId="0" applyNumberFormat="1" applyFill="1" applyBorder="1" applyProtection="1"/>
    <xf numFmtId="166" fontId="0" fillId="0" borderId="5" xfId="0" applyNumberFormat="1" applyBorder="1" applyProtection="1"/>
    <xf numFmtId="0" fontId="8" fillId="0" borderId="0" xfId="0" applyFont="1" applyProtection="1"/>
    <xf numFmtId="170" fontId="8" fillId="0" borderId="0" xfId="1" applyNumberFormat="1" applyFont="1" applyProtection="1"/>
    <xf numFmtId="166" fontId="8" fillId="0" borderId="0" xfId="0" applyNumberFormat="1" applyFont="1" applyProtection="1"/>
    <xf numFmtId="166" fontId="10" fillId="0" borderId="0" xfId="0" applyNumberFormat="1" applyFont="1" applyProtection="1"/>
    <xf numFmtId="166" fontId="8" fillId="0" borderId="0" xfId="0" applyNumberFormat="1" applyFont="1" applyBorder="1" applyProtection="1"/>
    <xf numFmtId="166" fontId="8" fillId="0" borderId="0" xfId="0" applyNumberFormat="1" applyFont="1" applyFill="1" applyBorder="1" applyProtection="1"/>
    <xf numFmtId="0" fontId="3" fillId="0" borderId="0" xfId="0" applyFont="1" applyProtection="1"/>
    <xf numFmtId="170" fontId="3" fillId="0" borderId="0" xfId="1" applyNumberFormat="1" applyFont="1" applyProtection="1"/>
    <xf numFmtId="166" fontId="3" fillId="0" borderId="0" xfId="0" applyNumberFormat="1" applyFont="1" applyProtection="1"/>
    <xf numFmtId="166" fontId="3" fillId="0" borderId="0" xfId="0" applyNumberFormat="1" applyFont="1" applyBorder="1" applyProtection="1"/>
    <xf numFmtId="166" fontId="3" fillId="0" borderId="0" xfId="0" applyNumberFormat="1" applyFont="1" applyFill="1" applyBorder="1" applyProtection="1"/>
    <xf numFmtId="170" fontId="0" fillId="0" borderId="0" xfId="0" applyNumberFormat="1" applyProtection="1"/>
    <xf numFmtId="170" fontId="0" fillId="0" borderId="0" xfId="1" applyNumberFormat="1" applyFont="1" applyAlignment="1" applyProtection="1">
      <alignment horizontal="center"/>
    </xf>
    <xf numFmtId="0" fontId="0" fillId="0" borderId="0" xfId="0" applyAlignment="1">
      <alignment horizontal="center"/>
    </xf>
    <xf numFmtId="169" fontId="0" fillId="2" borderId="0" xfId="0" applyNumberFormat="1" applyFill="1"/>
    <xf numFmtId="0" fontId="0" fillId="2" borderId="0" xfId="0" applyFill="1"/>
    <xf numFmtId="0" fontId="0" fillId="2" borderId="0" xfId="0" applyFill="1" applyAlignment="1">
      <alignment horizontal="right"/>
    </xf>
    <xf numFmtId="166" fontId="0" fillId="0" borderId="0" xfId="0" applyNumberFormat="1" applyAlignment="1" applyProtection="1">
      <alignment horizontal="center"/>
    </xf>
    <xf numFmtId="0" fontId="0" fillId="0" borderId="0" xfId="0" applyAlignment="1" applyProtection="1">
      <alignment horizontal="center"/>
    </xf>
    <xf numFmtId="0" fontId="11" fillId="0" borderId="0" xfId="0" applyFont="1"/>
    <xf numFmtId="9" fontId="0" fillId="0" borderId="0" xfId="0" applyNumberFormat="1" applyAlignment="1">
      <alignment horizontal="center"/>
    </xf>
    <xf numFmtId="0" fontId="0" fillId="0" borderId="6" xfId="0" applyNumberFormat="1" applyFill="1" applyBorder="1" applyAlignment="1" applyProtection="1">
      <alignment horizontal="center"/>
    </xf>
    <xf numFmtId="15" fontId="0" fillId="0" borderId="7" xfId="1" applyNumberFormat="1" applyFont="1" applyBorder="1" applyAlignment="1" applyProtection="1">
      <alignment horizontal="right"/>
    </xf>
    <xf numFmtId="15" fontId="0" fillId="0" borderId="8" xfId="1" applyNumberFormat="1" applyFont="1" applyBorder="1" applyAlignment="1" applyProtection="1">
      <alignment horizontal="center"/>
    </xf>
    <xf numFmtId="1" fontId="0" fillId="0" borderId="9" xfId="1" applyNumberFormat="1" applyFont="1" applyBorder="1" applyAlignment="1" applyProtection="1">
      <alignment horizontal="left"/>
    </xf>
    <xf numFmtId="0" fontId="0" fillId="0" borderId="6" xfId="0" applyNumberFormat="1" applyFill="1" applyBorder="1" applyProtection="1"/>
    <xf numFmtId="170" fontId="0" fillId="0" borderId="6" xfId="1" applyNumberFormat="1" applyFont="1" applyBorder="1" applyAlignment="1" applyProtection="1">
      <alignment horizontal="left"/>
    </xf>
    <xf numFmtId="170" fontId="0" fillId="0" borderId="0" xfId="1" applyNumberFormat="1" applyFont="1" applyBorder="1" applyAlignment="1" applyProtection="1">
      <alignment horizontal="left"/>
    </xf>
    <xf numFmtId="170" fontId="0" fillId="0" borderId="6" xfId="1" applyNumberFormat="1" applyFont="1" applyBorder="1" applyProtection="1"/>
    <xf numFmtId="170" fontId="0" fillId="0" borderId="0" xfId="1" applyNumberFormat="1" applyFont="1" applyBorder="1" applyProtection="1"/>
    <xf numFmtId="13" fontId="0" fillId="0" borderId="0" xfId="1" applyNumberFormat="1" applyFont="1" applyProtection="1"/>
    <xf numFmtId="0" fontId="12" fillId="0" borderId="0" xfId="0" applyFont="1" applyAlignment="1" applyProtection="1">
      <alignment horizontal="left"/>
    </xf>
    <xf numFmtId="0" fontId="16" fillId="0" borderId="0" xfId="0" applyFont="1" applyFill="1" applyAlignment="1" applyProtection="1">
      <alignment horizontal="right" indent="4"/>
    </xf>
    <xf numFmtId="0" fontId="17" fillId="0" borderId="0" xfId="0" applyFont="1" applyFill="1" applyAlignment="1" applyProtection="1">
      <alignment horizontal="left"/>
    </xf>
    <xf numFmtId="0" fontId="18" fillId="0" borderId="0" xfId="0" applyFont="1" applyFill="1" applyAlignment="1" applyProtection="1">
      <alignment horizontal="left"/>
    </xf>
    <xf numFmtId="0" fontId="16" fillId="0" borderId="0" xfId="0" applyFont="1" applyFill="1" applyAlignment="1" applyProtection="1">
      <alignment horizontal="left"/>
    </xf>
    <xf numFmtId="171" fontId="16" fillId="0" borderId="0" xfId="0" applyNumberFormat="1" applyFont="1" applyFill="1" applyAlignment="1" applyProtection="1">
      <alignment horizontal="left"/>
    </xf>
    <xf numFmtId="0" fontId="18" fillId="0" borderId="0" xfId="0" applyFont="1" applyFill="1" applyProtection="1"/>
    <xf numFmtId="0" fontId="16" fillId="0" borderId="0" xfId="0" applyFont="1" applyFill="1" applyProtection="1"/>
    <xf numFmtId="171" fontId="16" fillId="0" borderId="0" xfId="0" applyNumberFormat="1" applyFont="1" applyFill="1" applyAlignment="1" applyProtection="1">
      <alignment horizontal="center"/>
    </xf>
    <xf numFmtId="0" fontId="16" fillId="0" borderId="0" xfId="0" applyFont="1" applyFill="1" applyAlignment="1" applyProtection="1">
      <alignment vertical="center"/>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171" fontId="16" fillId="0" borderId="0" xfId="0" applyNumberFormat="1" applyFont="1" applyFill="1" applyAlignment="1" applyProtection="1">
      <alignment horizontal="center" vertical="center"/>
    </xf>
    <xf numFmtId="0" fontId="19"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6" fillId="0" borderId="0" xfId="0" applyFont="1" applyFill="1" applyAlignment="1" applyProtection="1">
      <alignment horizontal="righ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24" fillId="0" borderId="1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12" xfId="0"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1" fontId="16" fillId="0" borderId="0" xfId="0" applyNumberFormat="1" applyFont="1" applyFill="1" applyAlignment="1" applyProtection="1">
      <alignment horizontal="center" vertical="center"/>
    </xf>
    <xf numFmtId="0" fontId="25" fillId="0" borderId="0" xfId="0" applyFont="1" applyFill="1" applyBorder="1" applyAlignment="1" applyProtection="1">
      <alignment horizontal="justify" vertical="top" wrapText="1"/>
    </xf>
    <xf numFmtId="0" fontId="16" fillId="0" borderId="0" xfId="0" applyFont="1" applyFill="1" applyAlignment="1" applyProtection="1">
      <alignment horizontal="justify" vertical="top" wrapText="1"/>
    </xf>
    <xf numFmtId="0" fontId="16" fillId="0" borderId="7" xfId="0" applyFont="1" applyFill="1" applyBorder="1" applyAlignment="1" applyProtection="1">
      <alignment horizontal="left"/>
    </xf>
    <xf numFmtId="0" fontId="16" fillId="0" borderId="8" xfId="0" applyFont="1" applyFill="1" applyBorder="1" applyAlignment="1" applyProtection="1">
      <alignment horizontal="left"/>
    </xf>
    <xf numFmtId="0" fontId="18" fillId="0" borderId="8" xfId="0" applyFont="1" applyFill="1" applyBorder="1" applyProtection="1"/>
    <xf numFmtId="0" fontId="16" fillId="0" borderId="0" xfId="0" applyFont="1" applyFill="1" applyAlignment="1" applyProtection="1">
      <alignment horizontal="left"/>
      <protection locked="0"/>
    </xf>
    <xf numFmtId="0" fontId="16" fillId="0" borderId="0" xfId="0" applyFont="1" applyFill="1" applyProtection="1">
      <protection locked="0"/>
    </xf>
    <xf numFmtId="171" fontId="16" fillId="0" borderId="0" xfId="0" applyNumberFormat="1" applyFont="1" applyFill="1" applyAlignment="1" applyProtection="1">
      <alignment horizontal="center"/>
      <protection locked="0"/>
    </xf>
    <xf numFmtId="166" fontId="16" fillId="0" borderId="0" xfId="2" applyNumberFormat="1" applyFont="1" applyFill="1" applyProtection="1"/>
    <xf numFmtId="0" fontId="16" fillId="0" borderId="0" xfId="0" applyFont="1" applyFill="1" applyAlignment="1" applyProtection="1"/>
    <xf numFmtId="0" fontId="18" fillId="0" borderId="0" xfId="0" applyFont="1" applyFill="1" applyAlignment="1" applyProtection="1"/>
    <xf numFmtId="0" fontId="26" fillId="0" borderId="0" xfId="0" applyFont="1" applyFill="1" applyAlignment="1" applyProtection="1">
      <alignment horizontal="left" vertical="justify"/>
      <protection locked="0"/>
    </xf>
    <xf numFmtId="171" fontId="16" fillId="0" borderId="14" xfId="0" applyNumberFormat="1" applyFont="1" applyFill="1" applyBorder="1" applyAlignment="1" applyProtection="1">
      <alignment horizontal="center"/>
      <protection locked="0"/>
    </xf>
    <xf numFmtId="171" fontId="16" fillId="0" borderId="0" xfId="0" applyNumberFormat="1" applyFont="1" applyFill="1" applyProtection="1">
      <protection locked="0"/>
    </xf>
    <xf numFmtId="171" fontId="18" fillId="0" borderId="0" xfId="0" applyNumberFormat="1" applyFont="1" applyFill="1" applyAlignment="1" applyProtection="1">
      <alignment horizontal="left"/>
    </xf>
    <xf numFmtId="171" fontId="16" fillId="0" borderId="0" xfId="0" applyNumberFormat="1" applyFont="1" applyFill="1" applyProtection="1"/>
    <xf numFmtId="0" fontId="16" fillId="0" borderId="0" xfId="0" applyFont="1" applyFill="1" applyBorder="1" applyAlignment="1" applyProtection="1">
      <alignment horizontal="center"/>
    </xf>
    <xf numFmtId="0" fontId="16" fillId="0" borderId="0" xfId="0" applyFont="1" applyFill="1" applyBorder="1" applyAlignment="1" applyProtection="1">
      <alignment horizontal="left"/>
    </xf>
    <xf numFmtId="0" fontId="20" fillId="0" borderId="0" xfId="0" applyFont="1" applyFill="1" applyProtection="1"/>
    <xf numFmtId="0" fontId="20" fillId="0" borderId="0" xfId="0" applyFont="1" applyFill="1" applyAlignment="1" applyProtection="1">
      <alignment horizontal="right"/>
    </xf>
    <xf numFmtId="9" fontId="16" fillId="0" borderId="0" xfId="0" applyNumberFormat="1" applyFont="1" applyFill="1" applyAlignment="1" applyProtection="1">
      <alignment horizontal="center"/>
    </xf>
    <xf numFmtId="0" fontId="18" fillId="0" borderId="0" xfId="0" applyFont="1"/>
    <xf numFmtId="0" fontId="25" fillId="0" borderId="0" xfId="0" applyFont="1" applyAlignment="1">
      <alignment vertical="top"/>
    </xf>
    <xf numFmtId="0" fontId="25" fillId="0" borderId="0" xfId="0" applyFont="1"/>
    <xf numFmtId="0" fontId="16" fillId="0" borderId="0" xfId="0" applyFont="1"/>
    <xf numFmtId="0" fontId="16" fillId="0" borderId="15" xfId="0" applyFont="1" applyBorder="1" applyAlignment="1">
      <alignment vertical="center"/>
    </xf>
    <xf numFmtId="0" fontId="18" fillId="0" borderId="15" xfId="0" applyFont="1" applyBorder="1" applyAlignment="1">
      <alignment vertical="center"/>
    </xf>
    <xf numFmtId="0" fontId="18" fillId="0" borderId="0" xfId="0" applyFont="1" applyAlignment="1">
      <alignment vertical="center"/>
    </xf>
    <xf numFmtId="0" fontId="18" fillId="0" borderId="16" xfId="0" applyFont="1" applyBorder="1" applyAlignment="1">
      <alignment vertical="center"/>
    </xf>
    <xf numFmtId="0" fontId="16" fillId="0" borderId="16" xfId="0" applyFont="1" applyBorder="1" applyAlignment="1">
      <alignment horizontal="right" vertical="center"/>
    </xf>
    <xf numFmtId="0" fontId="16" fillId="0" borderId="16" xfId="0" applyFont="1" applyBorder="1" applyAlignment="1">
      <alignment vertical="center"/>
    </xf>
    <xf numFmtId="0" fontId="16" fillId="0" borderId="0" xfId="0" applyFont="1" applyAlignment="1">
      <alignment vertical="center"/>
    </xf>
    <xf numFmtId="0" fontId="20" fillId="0" borderId="0" xfId="0" applyFont="1" applyAlignment="1">
      <alignment horizontal="right" vertical="center"/>
    </xf>
    <xf numFmtId="0" fontId="21" fillId="0" borderId="0" xfId="0" applyFont="1" applyFill="1" applyBorder="1" applyAlignment="1">
      <alignment horizontal="center" vertical="center"/>
    </xf>
    <xf numFmtId="0" fontId="22" fillId="0" borderId="0" xfId="0" applyFont="1" applyBorder="1" applyAlignment="1">
      <alignment horizontal="center" vertical="center"/>
    </xf>
    <xf numFmtId="0" fontId="20" fillId="3" borderId="10" xfId="0" applyFont="1" applyFill="1" applyBorder="1" applyAlignment="1">
      <alignment horizontal="center" vertical="center"/>
    </xf>
    <xf numFmtId="0" fontId="20" fillId="0" borderId="10" xfId="0" applyFont="1" applyBorder="1" applyAlignment="1">
      <alignment horizontal="left" vertical="center"/>
    </xf>
    <xf numFmtId="0" fontId="18" fillId="0" borderId="10" xfId="0" applyFont="1" applyBorder="1" applyAlignment="1">
      <alignment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16" fillId="0" borderId="0" xfId="0" applyFont="1" applyBorder="1" applyAlignment="1">
      <alignment vertical="center"/>
    </xf>
    <xf numFmtId="0" fontId="20" fillId="0" borderId="0" xfId="0" applyFont="1" applyBorder="1" applyAlignment="1">
      <alignment horizontal="right" vertical="center"/>
    </xf>
    <xf numFmtId="0" fontId="16" fillId="0" borderId="0" xfId="0" applyFont="1" applyBorder="1" applyAlignment="1"/>
    <xf numFmtId="0" fontId="24" fillId="0" borderId="17" xfId="0" applyFont="1" applyBorder="1" applyAlignment="1">
      <alignment horizontal="left" vertical="center"/>
    </xf>
    <xf numFmtId="0" fontId="18" fillId="0" borderId="18" xfId="0" applyFont="1" applyBorder="1" applyAlignment="1">
      <alignment vertical="center"/>
    </xf>
    <xf numFmtId="0" fontId="27" fillId="0" borderId="0" xfId="0" applyFont="1" applyAlignment="1">
      <alignment vertical="center"/>
    </xf>
    <xf numFmtId="0" fontId="24" fillId="0" borderId="19" xfId="0" applyFont="1" applyBorder="1" applyAlignment="1">
      <alignment horizontal="left" vertical="center"/>
    </xf>
    <xf numFmtId="0" fontId="18" fillId="3" borderId="0" xfId="0" applyFont="1" applyFill="1" applyBorder="1" applyAlignment="1">
      <alignment vertical="center"/>
    </xf>
    <xf numFmtId="0" fontId="24" fillId="0" borderId="11" xfId="0" applyFont="1" applyBorder="1" applyAlignment="1">
      <alignment vertical="center"/>
    </xf>
    <xf numFmtId="0" fontId="24" fillId="0" borderId="12" xfId="0" applyFont="1" applyBorder="1" applyAlignment="1">
      <alignment vertical="center"/>
    </xf>
    <xf numFmtId="0" fontId="24" fillId="0" borderId="12" xfId="0" applyFont="1" applyBorder="1" applyAlignment="1">
      <alignment horizontal="right" vertical="center"/>
    </xf>
    <xf numFmtId="0" fontId="24" fillId="0" borderId="20" xfId="0" applyFont="1" applyBorder="1" applyAlignment="1">
      <alignment horizontal="left" vertical="center"/>
    </xf>
    <xf numFmtId="0" fontId="18" fillId="3" borderId="10" xfId="0" applyFont="1" applyFill="1" applyBorder="1" applyAlignment="1">
      <alignment vertical="center"/>
    </xf>
    <xf numFmtId="0" fontId="16" fillId="0" borderId="0" xfId="0" applyFont="1" applyAlignment="1">
      <alignment horizontal="justify" vertical="top" wrapText="1"/>
    </xf>
    <xf numFmtId="0" fontId="20" fillId="0" borderId="0" xfId="0" applyFont="1"/>
    <xf numFmtId="0" fontId="28" fillId="0" borderId="12" xfId="0" applyFont="1" applyBorder="1" applyAlignment="1">
      <alignment horizontal="center"/>
    </xf>
    <xf numFmtId="0" fontId="28" fillId="0" borderId="0" xfId="0" applyFont="1"/>
    <xf numFmtId="0" fontId="29" fillId="4" borderId="21" xfId="0" applyFont="1" applyFill="1" applyBorder="1" applyProtection="1">
      <protection locked="0"/>
    </xf>
    <xf numFmtId="0" fontId="30" fillId="0" borderId="0" xfId="0" applyFont="1" applyBorder="1" applyAlignment="1">
      <alignment horizontal="center"/>
    </xf>
    <xf numFmtId="0" fontId="30" fillId="0" borderId="0" xfId="0" applyFont="1" applyAlignment="1">
      <alignment horizontal="center"/>
    </xf>
    <xf numFmtId="0" fontId="29" fillId="0" borderId="0" xfId="0" applyFont="1"/>
    <xf numFmtId="0" fontId="29" fillId="4" borderId="6" xfId="0" applyFont="1" applyFill="1" applyBorder="1" applyProtection="1">
      <protection locked="0"/>
    </xf>
    <xf numFmtId="0" fontId="29" fillId="4" borderId="12" xfId="0" applyFont="1" applyFill="1" applyBorder="1" applyProtection="1">
      <protection locked="0"/>
    </xf>
    <xf numFmtId="171" fontId="28" fillId="0" borderId="0" xfId="0" applyNumberFormat="1" applyFont="1" applyAlignment="1">
      <alignment horizontal="center" wrapText="1"/>
    </xf>
    <xf numFmtId="0" fontId="21" fillId="0" borderId="0" xfId="0" applyFont="1"/>
    <xf numFmtId="4" fontId="28" fillId="0" borderId="12" xfId="0" applyNumberFormat="1" applyFont="1" applyFill="1" applyBorder="1" applyAlignment="1">
      <alignment horizontal="center"/>
    </xf>
    <xf numFmtId="4" fontId="29" fillId="4" borderId="21" xfId="0" applyNumberFormat="1" applyFont="1" applyFill="1" applyBorder="1" applyAlignment="1" applyProtection="1">
      <alignment horizontal="center"/>
      <protection locked="0"/>
    </xf>
    <xf numFmtId="4" fontId="29" fillId="4" borderId="12" xfId="0" applyNumberFormat="1" applyFont="1" applyFill="1" applyBorder="1" applyAlignment="1" applyProtection="1">
      <alignment horizontal="center"/>
      <protection locked="0"/>
    </xf>
    <xf numFmtId="171" fontId="28" fillId="0" borderId="12" xfId="0" applyNumberFormat="1" applyFont="1" applyBorder="1" applyAlignment="1">
      <alignment horizontal="center"/>
    </xf>
    <xf numFmtId="171" fontId="16" fillId="4" borderId="21" xfId="0" applyNumberFormat="1" applyFont="1" applyFill="1" applyBorder="1" applyAlignment="1" applyProtection="1">
      <alignment horizontal="center"/>
      <protection locked="0"/>
    </xf>
    <xf numFmtId="171" fontId="16" fillId="4" borderId="12" xfId="0" applyNumberFormat="1" applyFont="1" applyFill="1" applyBorder="1" applyAlignment="1" applyProtection="1">
      <alignment horizontal="center"/>
      <protection locked="0"/>
    </xf>
    <xf numFmtId="0" fontId="16" fillId="4" borderId="21" xfId="0" applyFont="1" applyFill="1" applyBorder="1" applyAlignment="1" applyProtection="1">
      <alignment horizontal="center"/>
      <protection locked="0"/>
    </xf>
    <xf numFmtId="0" fontId="16" fillId="4" borderId="12" xfId="0" applyFont="1" applyFill="1" applyBorder="1" applyAlignment="1" applyProtection="1">
      <alignment horizontal="center"/>
      <protection locked="0"/>
    </xf>
    <xf numFmtId="0" fontId="21" fillId="0" borderId="0" xfId="0" applyFont="1" applyAlignment="1">
      <alignment horizontal="right"/>
    </xf>
    <xf numFmtId="2" fontId="31" fillId="0" borderId="0" xfId="0" applyNumberFormat="1" applyFont="1" applyFill="1" applyAlignment="1">
      <alignment horizontal="center" vertical="center" wrapText="1"/>
    </xf>
    <xf numFmtId="2" fontId="18" fillId="0" borderId="0" xfId="0" applyNumberFormat="1" applyFont="1" applyAlignment="1"/>
    <xf numFmtId="0" fontId="16" fillId="0" borderId="0" xfId="0" applyFont="1" applyAlignment="1">
      <alignment wrapText="1"/>
    </xf>
    <xf numFmtId="0" fontId="18" fillId="0" borderId="0" xfId="0" applyFont="1" applyAlignment="1">
      <alignment horizontal="center"/>
    </xf>
    <xf numFmtId="171" fontId="20" fillId="0" borderId="0" xfId="0" applyNumberFormat="1" applyFont="1" applyBorder="1" applyAlignment="1">
      <alignment horizontal="center"/>
    </xf>
    <xf numFmtId="0" fontId="16" fillId="0" borderId="0" xfId="0" applyFont="1" applyAlignment="1">
      <alignment horizontal="right"/>
    </xf>
    <xf numFmtId="0" fontId="32" fillId="0" borderId="0" xfId="0" applyFont="1" applyAlignment="1">
      <alignment horizontal="center" wrapText="1"/>
    </xf>
    <xf numFmtId="0" fontId="16" fillId="0" borderId="0" xfId="0" applyFont="1" applyAlignment="1"/>
    <xf numFmtId="0" fontId="16" fillId="0" borderId="0" xfId="0" applyFont="1" applyFill="1" applyBorder="1" applyAlignment="1">
      <alignment horizontal="left"/>
    </xf>
    <xf numFmtId="0" fontId="16" fillId="0" borderId="0" xfId="0"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Border="1" applyAlignment="1">
      <alignment horizontal="right"/>
    </xf>
    <xf numFmtId="0" fontId="18" fillId="0" borderId="0" xfId="0" applyFont="1" applyFill="1"/>
    <xf numFmtId="0" fontId="16" fillId="2" borderId="0" xfId="0" applyFont="1" applyFill="1"/>
    <xf numFmtId="0" fontId="18" fillId="2" borderId="0" xfId="0" applyFont="1" applyFill="1"/>
    <xf numFmtId="0" fontId="16" fillId="2" borderId="0" xfId="0" applyFont="1" applyFill="1" applyAlignment="1"/>
    <xf numFmtId="0" fontId="18" fillId="2" borderId="0" xfId="0" applyFont="1" applyFill="1" applyAlignment="1"/>
    <xf numFmtId="0" fontId="18" fillId="0" borderId="0" xfId="0" applyFont="1" applyAlignment="1"/>
    <xf numFmtId="0" fontId="33" fillId="2" borderId="0" xfId="0" applyFont="1" applyFill="1" applyAlignment="1">
      <alignment horizontal="center" wrapText="1"/>
    </xf>
    <xf numFmtId="0" fontId="16" fillId="0" borderId="0" xfId="0" applyFont="1" applyAlignment="1" applyProtection="1"/>
    <xf numFmtId="170" fontId="16" fillId="0" borderId="0" xfId="1" applyNumberFormat="1" applyFont="1" applyAlignment="1" applyProtection="1"/>
    <xf numFmtId="166" fontId="16" fillId="0" borderId="0" xfId="0" applyNumberFormat="1" applyFont="1" applyAlignment="1" applyProtection="1"/>
    <xf numFmtId="166" fontId="16" fillId="5" borderId="0" xfId="0" applyNumberFormat="1" applyFont="1" applyFill="1" applyAlignment="1" applyProtection="1"/>
    <xf numFmtId="0" fontId="16" fillId="0" borderId="0" xfId="0" applyFont="1" applyProtection="1"/>
    <xf numFmtId="170" fontId="16" fillId="0" borderId="0" xfId="1" applyNumberFormat="1" applyFont="1" applyBorder="1" applyAlignment="1" applyProtection="1">
      <alignment horizontal="left"/>
    </xf>
    <xf numFmtId="166" fontId="16" fillId="0" borderId="2" xfId="0" applyNumberFormat="1" applyFont="1" applyBorder="1" applyAlignment="1" applyProtection="1"/>
    <xf numFmtId="166" fontId="16" fillId="5" borderId="3" xfId="0" applyNumberFormat="1" applyFont="1" applyFill="1" applyBorder="1" applyAlignment="1" applyProtection="1"/>
    <xf numFmtId="170" fontId="16" fillId="0" borderId="0" xfId="1" applyNumberFormat="1" applyFont="1" applyAlignment="1" applyProtection="1">
      <alignment horizontal="left"/>
    </xf>
    <xf numFmtId="166" fontId="16" fillId="0" borderId="0" xfId="0" applyNumberFormat="1" applyFont="1" applyAlignment="1" applyProtection="1">
      <alignment horizontal="left"/>
    </xf>
    <xf numFmtId="0" fontId="16" fillId="0" borderId="0" xfId="0" applyFont="1" applyAlignment="1" applyProtection="1">
      <alignment horizontal="left"/>
    </xf>
    <xf numFmtId="0" fontId="16" fillId="0" borderId="6" xfId="0" applyNumberFormat="1" applyFont="1" applyFill="1" applyBorder="1" applyAlignment="1" applyProtection="1"/>
    <xf numFmtId="0" fontId="16" fillId="0" borderId="6" xfId="0" applyNumberFormat="1" applyFont="1" applyFill="1" applyBorder="1" applyAlignment="1" applyProtection="1">
      <protection locked="0"/>
    </xf>
    <xf numFmtId="0" fontId="16" fillId="3" borderId="8" xfId="0" applyFont="1" applyFill="1" applyBorder="1" applyAlignment="1" applyProtection="1">
      <alignment horizontal="center"/>
    </xf>
    <xf numFmtId="0" fontId="16" fillId="0" borderId="0" xfId="0" applyFont="1" applyBorder="1" applyAlignment="1" applyProtection="1"/>
    <xf numFmtId="0" fontId="16" fillId="0" borderId="6" xfId="0" applyFont="1" applyBorder="1" applyAlignment="1" applyProtection="1"/>
    <xf numFmtId="9" fontId="16" fillId="0" borderId="0" xfId="7" applyFont="1" applyBorder="1" applyAlignment="1" applyProtection="1">
      <alignment horizontal="left"/>
    </xf>
    <xf numFmtId="0" fontId="16" fillId="0" borderId="0" xfId="0" applyNumberFormat="1" applyFont="1" applyBorder="1" applyAlignment="1" applyProtection="1"/>
    <xf numFmtId="9" fontId="16" fillId="0" borderId="0" xfId="7" applyFont="1" applyBorder="1" applyAlignment="1" applyProtection="1"/>
    <xf numFmtId="0" fontId="23" fillId="6" borderId="0" xfId="0" applyFont="1" applyFill="1" applyAlignment="1" applyProtection="1"/>
    <xf numFmtId="0" fontId="16" fillId="6" borderId="0" xfId="0" applyFont="1" applyFill="1" applyAlignment="1" applyProtection="1"/>
    <xf numFmtId="170" fontId="16" fillId="6" borderId="0" xfId="1" applyNumberFormat="1" applyFont="1" applyFill="1" applyAlignment="1" applyProtection="1"/>
    <xf numFmtId="166" fontId="16" fillId="6" borderId="0" xfId="0" applyNumberFormat="1" applyFont="1" applyFill="1" applyAlignment="1" applyProtection="1"/>
    <xf numFmtId="0" fontId="16" fillId="4" borderId="6" xfId="0" applyFont="1" applyFill="1" applyBorder="1" applyAlignment="1" applyProtection="1"/>
    <xf numFmtId="170" fontId="16" fillId="0" borderId="6" xfId="1" applyNumberFormat="1" applyFont="1" applyBorder="1" applyAlignment="1" applyProtection="1"/>
    <xf numFmtId="166" fontId="16" fillId="0" borderId="6" xfId="0" applyNumberFormat="1" applyFont="1" applyBorder="1" applyAlignment="1" applyProtection="1"/>
    <xf numFmtId="166" fontId="16" fillId="5" borderId="6" xfId="0" applyNumberFormat="1" applyFont="1" applyFill="1" applyBorder="1" applyAlignment="1" applyProtection="1"/>
    <xf numFmtId="0" fontId="16" fillId="5" borderId="0" xfId="0" applyFont="1" applyFill="1" applyAlignment="1" applyProtection="1"/>
    <xf numFmtId="0" fontId="34" fillId="0" borderId="0" xfId="0" applyFont="1" applyProtection="1"/>
    <xf numFmtId="1" fontId="16" fillId="0" borderId="6" xfId="7" applyNumberFormat="1" applyFont="1" applyBorder="1" applyAlignment="1" applyProtection="1"/>
    <xf numFmtId="4" fontId="16" fillId="0" borderId="6" xfId="0" applyNumberFormat="1" applyFont="1" applyBorder="1" applyAlignment="1" applyProtection="1"/>
    <xf numFmtId="166" fontId="16" fillId="0" borderId="0" xfId="0" applyNumberFormat="1" applyFont="1" applyBorder="1" applyAlignment="1" applyProtection="1"/>
    <xf numFmtId="166" fontId="16" fillId="5" borderId="0" xfId="0" applyNumberFormat="1" applyFont="1" applyFill="1" applyBorder="1" applyAlignment="1" applyProtection="1"/>
    <xf numFmtId="0" fontId="20" fillId="4" borderId="0" xfId="0" applyFont="1" applyFill="1" applyAlignment="1" applyProtection="1"/>
    <xf numFmtId="170" fontId="20" fillId="4" borderId="0" xfId="1" applyNumberFormat="1" applyFont="1" applyFill="1" applyAlignment="1" applyProtection="1"/>
    <xf numFmtId="166" fontId="20" fillId="4" borderId="0" xfId="0" applyNumberFormat="1" applyFont="1" applyFill="1" applyAlignment="1" applyProtection="1"/>
    <xf numFmtId="166" fontId="20" fillId="4" borderId="6" xfId="0" applyNumberFormat="1" applyFont="1" applyFill="1" applyBorder="1" applyAlignment="1" applyProtection="1"/>
    <xf numFmtId="0" fontId="20" fillId="0" borderId="0" xfId="0" applyFont="1" applyAlignment="1" applyProtection="1"/>
    <xf numFmtId="170" fontId="20" fillId="0" borderId="0" xfId="1" applyNumberFormat="1" applyFont="1" applyAlignment="1" applyProtection="1"/>
    <xf numFmtId="166" fontId="20" fillId="0" borderId="0" xfId="0" applyNumberFormat="1" applyFont="1" applyAlignment="1" applyProtection="1"/>
    <xf numFmtId="166" fontId="20" fillId="5" borderId="0" xfId="0" applyNumberFormat="1" applyFont="1" applyFill="1" applyAlignment="1" applyProtection="1"/>
    <xf numFmtId="0" fontId="23" fillId="7" borderId="0" xfId="0" applyFont="1" applyFill="1" applyAlignment="1" applyProtection="1"/>
    <xf numFmtId="0" fontId="16" fillId="7" borderId="0" xfId="0" applyFont="1" applyFill="1" applyAlignment="1" applyProtection="1"/>
    <xf numFmtId="170" fontId="16" fillId="7" borderId="0" xfId="1" applyNumberFormat="1" applyFont="1" applyFill="1" applyAlignment="1" applyProtection="1"/>
    <xf numFmtId="166" fontId="16" fillId="7" borderId="0" xfId="0" applyNumberFormat="1" applyFont="1" applyFill="1" applyAlignment="1" applyProtection="1"/>
    <xf numFmtId="0" fontId="16" fillId="8" borderId="6" xfId="0" applyFont="1" applyFill="1" applyBorder="1" applyAlignment="1" applyProtection="1"/>
    <xf numFmtId="0" fontId="16" fillId="0" borderId="22" xfId="0" applyFont="1" applyFill="1" applyBorder="1" applyAlignment="1" applyProtection="1"/>
    <xf numFmtId="0" fontId="16" fillId="5" borderId="22" xfId="0" applyFont="1" applyFill="1" applyBorder="1" applyAlignment="1" applyProtection="1"/>
    <xf numFmtId="166" fontId="16" fillId="0" borderId="5" xfId="0" applyNumberFormat="1" applyFont="1" applyBorder="1" applyAlignment="1" applyProtection="1"/>
    <xf numFmtId="166" fontId="16" fillId="5" borderId="5" xfId="0" applyNumberFormat="1" applyFont="1" applyFill="1" applyBorder="1" applyAlignment="1" applyProtection="1"/>
    <xf numFmtId="0" fontId="20" fillId="8" borderId="0" xfId="0" applyFont="1" applyFill="1" applyAlignment="1" applyProtection="1"/>
    <xf numFmtId="170" fontId="20" fillId="8" borderId="0" xfId="1" applyNumberFormat="1" applyFont="1" applyFill="1" applyAlignment="1" applyProtection="1"/>
    <xf numFmtId="166" fontId="20" fillId="8" borderId="0" xfId="0" applyNumberFormat="1" applyFont="1" applyFill="1" applyAlignment="1" applyProtection="1"/>
    <xf numFmtId="166" fontId="20" fillId="8" borderId="6" xfId="0" applyNumberFormat="1" applyFont="1" applyFill="1" applyBorder="1" applyAlignment="1" applyProtection="1"/>
    <xf numFmtId="0" fontId="18" fillId="9" borderId="0" xfId="0" applyFont="1" applyFill="1" applyAlignment="1" applyProtection="1"/>
    <xf numFmtId="170" fontId="18" fillId="9" borderId="0" xfId="1" applyNumberFormat="1" applyFont="1" applyFill="1" applyAlignment="1" applyProtection="1"/>
    <xf numFmtId="166" fontId="18" fillId="9" borderId="0" xfId="0" applyNumberFormat="1" applyFont="1" applyFill="1" applyAlignment="1" applyProtection="1"/>
    <xf numFmtId="166" fontId="16" fillId="9" borderId="6" xfId="0" applyNumberFormat="1" applyFont="1" applyFill="1" applyBorder="1" applyAlignment="1" applyProtection="1"/>
    <xf numFmtId="0" fontId="16" fillId="10" borderId="0" xfId="0" applyFont="1" applyFill="1" applyAlignment="1" applyProtection="1"/>
    <xf numFmtId="9" fontId="16" fillId="0" borderId="0" xfId="7" applyFont="1" applyAlignment="1" applyProtection="1"/>
    <xf numFmtId="166" fontId="25" fillId="0" borderId="0" xfId="0" applyNumberFormat="1" applyFont="1" applyAlignment="1" applyProtection="1"/>
    <xf numFmtId="170" fontId="16" fillId="0" borderId="0" xfId="0" applyNumberFormat="1" applyFont="1" applyAlignment="1" applyProtection="1"/>
    <xf numFmtId="170" fontId="16" fillId="0" borderId="0" xfId="1" applyNumberFormat="1" applyFont="1" applyFill="1" applyAlignment="1" applyProtection="1">
      <alignment horizontal="center" wrapText="1"/>
    </xf>
    <xf numFmtId="166" fontId="16" fillId="0" borderId="0" xfId="0" applyNumberFormat="1" applyFont="1" applyProtection="1"/>
    <xf numFmtId="14" fontId="16" fillId="0" borderId="0" xfId="0" applyNumberFormat="1" applyFont="1" applyProtection="1"/>
    <xf numFmtId="0" fontId="16" fillId="0" borderId="0" xfId="0" applyNumberFormat="1" applyFont="1" applyProtection="1"/>
    <xf numFmtId="0" fontId="16" fillId="0" borderId="0" xfId="0" applyFont="1" applyBorder="1" applyProtection="1"/>
    <xf numFmtId="14" fontId="16" fillId="5" borderId="0" xfId="0" applyNumberFormat="1" applyFont="1" applyFill="1" applyBorder="1" applyAlignment="1" applyProtection="1">
      <protection locked="0"/>
    </xf>
    <xf numFmtId="0" fontId="42" fillId="0" borderId="1" xfId="5" applyFont="1" applyFill="1" applyBorder="1" applyAlignment="1"/>
    <xf numFmtId="0" fontId="43" fillId="0" borderId="0" xfId="0" applyNumberFormat="1" applyFont="1" applyAlignment="1"/>
    <xf numFmtId="0" fontId="44" fillId="11" borderId="23" xfId="5" applyFont="1" applyFill="1" applyBorder="1" applyAlignment="1">
      <alignment horizontal="center"/>
    </xf>
    <xf numFmtId="0" fontId="44" fillId="5" borderId="0" xfId="4" applyFont="1" applyFill="1" applyBorder="1" applyAlignment="1" applyProtection="1">
      <alignment horizontal="center"/>
    </xf>
    <xf numFmtId="0" fontId="44" fillId="5" borderId="24" xfId="4" applyFont="1" applyFill="1" applyBorder="1" applyAlignment="1" applyProtection="1">
      <alignment horizontal="center"/>
    </xf>
    <xf numFmtId="0" fontId="44" fillId="0" borderId="1" xfId="5" applyFont="1" applyFill="1" applyBorder="1" applyAlignment="1">
      <alignment wrapText="1"/>
    </xf>
    <xf numFmtId="0" fontId="44" fillId="0" borderId="1" xfId="5" applyFont="1" applyFill="1" applyBorder="1" applyAlignment="1"/>
    <xf numFmtId="0" fontId="44" fillId="0" borderId="1" xfId="5" applyFont="1" applyFill="1" applyBorder="1" applyAlignment="1">
      <alignment horizontal="right" wrapText="1"/>
    </xf>
    <xf numFmtId="0" fontId="44" fillId="0" borderId="1" xfId="4" applyFont="1" applyFill="1" applyBorder="1" applyAlignment="1" applyProtection="1">
      <alignment horizontal="right"/>
    </xf>
    <xf numFmtId="0" fontId="44" fillId="0" borderId="0" xfId="4" applyFont="1" applyFill="1" applyBorder="1" applyAlignment="1" applyProtection="1">
      <alignment horizontal="right"/>
    </xf>
    <xf numFmtId="0" fontId="44" fillId="0" borderId="1" xfId="6" applyFont="1" applyFill="1" applyBorder="1" applyAlignment="1"/>
    <xf numFmtId="0" fontId="44" fillId="0" borderId="25" xfId="6" applyFont="1" applyFill="1" applyBorder="1" applyAlignment="1"/>
    <xf numFmtId="10" fontId="16" fillId="0" borderId="0" xfId="0" applyNumberFormat="1" applyFont="1" applyAlignment="1" applyProtection="1"/>
    <xf numFmtId="0" fontId="44" fillId="0" borderId="26" xfId="6" applyFont="1" applyFill="1" applyBorder="1" applyAlignment="1"/>
    <xf numFmtId="0" fontId="44" fillId="0" borderId="0" xfId="6" quotePrefix="1" applyFont="1" applyFill="1" applyBorder="1" applyAlignment="1"/>
    <xf numFmtId="9" fontId="16" fillId="0" borderId="0" xfId="0" applyNumberFormat="1" applyFont="1" applyAlignment="1" applyProtection="1"/>
    <xf numFmtId="0" fontId="16" fillId="0" borderId="0" xfId="0" quotePrefix="1" applyFont="1" applyAlignment="1" applyProtection="1"/>
    <xf numFmtId="0" fontId="44" fillId="0" borderId="1" xfId="6" quotePrefix="1" applyFont="1" applyFill="1" applyBorder="1" applyAlignment="1"/>
    <xf numFmtId="0" fontId="44" fillId="0" borderId="1" xfId="5" quotePrefix="1" applyFont="1" applyFill="1" applyBorder="1" applyAlignment="1">
      <alignment wrapText="1"/>
    </xf>
    <xf numFmtId="0" fontId="16" fillId="0" borderId="0" xfId="0" applyNumberFormat="1" applyFont="1" applyAlignment="1"/>
    <xf numFmtId="49" fontId="16" fillId="0" borderId="0" xfId="0" applyNumberFormat="1" applyFont="1" applyAlignment="1"/>
    <xf numFmtId="49" fontId="16" fillId="0" borderId="0" xfId="0" quotePrefix="1" applyNumberFormat="1" applyFont="1" applyAlignment="1"/>
    <xf numFmtId="0" fontId="36" fillId="4" borderId="19" xfId="0" applyFont="1" applyFill="1" applyBorder="1" applyAlignment="1" applyProtection="1">
      <alignment horizontal="center"/>
      <protection locked="0"/>
    </xf>
    <xf numFmtId="0" fontId="36" fillId="4" borderId="0" xfId="0" applyFont="1" applyFill="1" applyAlignment="1" applyProtection="1">
      <alignment horizontal="center"/>
      <protection locked="0"/>
    </xf>
    <xf numFmtId="171" fontId="29" fillId="4" borderId="6" xfId="0" applyNumberFormat="1" applyFont="1" applyFill="1" applyBorder="1" applyAlignment="1" applyProtection="1">
      <alignment horizontal="center"/>
      <protection locked="0"/>
    </xf>
    <xf numFmtId="0" fontId="29" fillId="4" borderId="6" xfId="0" applyFont="1" applyFill="1" applyBorder="1" applyAlignment="1" applyProtection="1">
      <alignment horizontal="center"/>
      <protection locked="0"/>
    </xf>
    <xf numFmtId="0" fontId="29" fillId="0" borderId="6" xfId="0" applyFont="1" applyFill="1" applyBorder="1" applyAlignment="1" applyProtection="1">
      <alignment horizontal="center"/>
    </xf>
    <xf numFmtId="0" fontId="35" fillId="0" borderId="0" xfId="0" applyFont="1" applyAlignment="1">
      <alignment vertical="center" wrapText="1"/>
    </xf>
    <xf numFmtId="0" fontId="29" fillId="0" borderId="12" xfId="0" applyFont="1" applyFill="1" applyBorder="1" applyAlignment="1" applyProtection="1">
      <alignment horizontal="center"/>
    </xf>
    <xf numFmtId="0" fontId="29" fillId="4" borderId="12" xfId="0" applyFont="1" applyFill="1" applyBorder="1" applyAlignment="1" applyProtection="1">
      <alignment horizontal="center"/>
      <protection locked="0"/>
    </xf>
    <xf numFmtId="0" fontId="29" fillId="4" borderId="32" xfId="0" applyFont="1" applyFill="1" applyBorder="1" applyAlignment="1" applyProtection="1">
      <alignment horizontal="center"/>
      <protection locked="0"/>
    </xf>
    <xf numFmtId="0" fontId="29" fillId="4" borderId="15" xfId="0" applyFont="1" applyFill="1" applyBorder="1" applyAlignment="1" applyProtection="1">
      <alignment horizontal="center"/>
      <protection locked="0"/>
    </xf>
    <xf numFmtId="0" fontId="29" fillId="4" borderId="33" xfId="0" applyFont="1" applyFill="1" applyBorder="1" applyAlignment="1" applyProtection="1">
      <alignment horizontal="center"/>
      <protection locked="0"/>
    </xf>
    <xf numFmtId="0" fontId="29" fillId="4" borderId="7" xfId="0" applyFont="1" applyFill="1" applyBorder="1" applyAlignment="1" applyProtection="1">
      <alignment horizontal="center"/>
      <protection locked="0"/>
    </xf>
    <xf numFmtId="0" fontId="29" fillId="4" borderId="8" xfId="0" applyFont="1" applyFill="1" applyBorder="1" applyAlignment="1" applyProtection="1">
      <alignment horizontal="center"/>
      <protection locked="0"/>
    </xf>
    <xf numFmtId="0" fontId="29" fillId="4" borderId="31" xfId="0" applyFont="1" applyFill="1" applyBorder="1" applyAlignment="1" applyProtection="1">
      <alignment horizontal="center"/>
      <protection locked="0"/>
    </xf>
    <xf numFmtId="171" fontId="29" fillId="0" borderId="6" xfId="0" applyNumberFormat="1" applyFont="1" applyFill="1" applyBorder="1" applyAlignment="1">
      <alignment horizontal="center"/>
    </xf>
    <xf numFmtId="171" fontId="16" fillId="0" borderId="6" xfId="0" applyNumberFormat="1" applyFont="1" applyBorder="1" applyAlignment="1">
      <alignment horizontal="center"/>
    </xf>
    <xf numFmtId="0" fontId="16" fillId="4" borderId="43" xfId="0" applyFont="1" applyFill="1" applyBorder="1" applyAlignment="1" applyProtection="1">
      <alignment horizontal="center"/>
      <protection locked="0"/>
    </xf>
    <xf numFmtId="0" fontId="16" fillId="4" borderId="44" xfId="0" applyFont="1" applyFill="1" applyBorder="1" applyAlignment="1" applyProtection="1">
      <alignment horizontal="center"/>
      <protection locked="0"/>
    </xf>
    <xf numFmtId="0" fontId="28" fillId="0" borderId="19" xfId="0" applyFont="1" applyBorder="1" applyAlignment="1">
      <alignment horizontal="center"/>
    </xf>
    <xf numFmtId="0" fontId="28" fillId="0" borderId="0" xfId="0" applyFont="1" applyAlignment="1">
      <alignment horizontal="center"/>
    </xf>
    <xf numFmtId="0" fontId="16" fillId="4" borderId="6" xfId="0" applyFont="1" applyFill="1" applyBorder="1" applyAlignment="1" applyProtection="1">
      <alignment horizontal="center"/>
      <protection locked="0"/>
    </xf>
    <xf numFmtId="0" fontId="16" fillId="4" borderId="28" xfId="0" applyFont="1" applyFill="1" applyBorder="1" applyAlignment="1" applyProtection="1">
      <alignment horizontal="center"/>
      <protection locked="0"/>
    </xf>
    <xf numFmtId="0" fontId="29" fillId="4" borderId="4" xfId="0" applyFont="1" applyFill="1" applyBorder="1" applyAlignment="1" applyProtection="1">
      <alignment horizontal="center"/>
      <protection locked="0"/>
    </xf>
    <xf numFmtId="0" fontId="29" fillId="4" borderId="5" xfId="0" applyFont="1" applyFill="1" applyBorder="1" applyAlignment="1" applyProtection="1">
      <alignment horizontal="center"/>
      <protection locked="0"/>
    </xf>
    <xf numFmtId="0" fontId="29" fillId="4" borderId="60" xfId="0" applyFont="1" applyFill="1" applyBorder="1" applyAlignment="1" applyProtection="1">
      <alignment horizontal="center"/>
      <protection locked="0"/>
    </xf>
    <xf numFmtId="0" fontId="29" fillId="4" borderId="34" xfId="0" applyFont="1" applyFill="1" applyBorder="1" applyAlignment="1" applyProtection="1">
      <alignment horizontal="center"/>
      <protection locked="0"/>
    </xf>
    <xf numFmtId="0" fontId="29" fillId="4" borderId="18" xfId="0" applyFont="1" applyFill="1" applyBorder="1" applyAlignment="1" applyProtection="1">
      <alignment horizontal="center"/>
      <protection locked="0"/>
    </xf>
    <xf numFmtId="0" fontId="29" fillId="4" borderId="35" xfId="0" applyFont="1" applyFill="1" applyBorder="1" applyAlignment="1" applyProtection="1">
      <alignment horizontal="center"/>
      <protection locked="0"/>
    </xf>
    <xf numFmtId="171" fontId="29" fillId="3" borderId="12" xfId="0" applyNumberFormat="1" applyFont="1" applyFill="1" applyBorder="1" applyAlignment="1" applyProtection="1">
      <alignment horizontal="center"/>
      <protection locked="0"/>
    </xf>
    <xf numFmtId="171" fontId="16" fillId="3" borderId="12" xfId="0" applyNumberFormat="1" applyFont="1" applyFill="1" applyBorder="1" applyAlignment="1"/>
    <xf numFmtId="4" fontId="29" fillId="4" borderId="21" xfId="0" applyNumberFormat="1" applyFont="1" applyFill="1" applyBorder="1" applyAlignment="1" applyProtection="1">
      <alignment horizontal="center"/>
      <protection locked="0"/>
    </xf>
    <xf numFmtId="0" fontId="16" fillId="0" borderId="40" xfId="0" applyFont="1" applyFill="1" applyBorder="1" applyAlignment="1">
      <alignment horizontal="center"/>
    </xf>
    <xf numFmtId="171" fontId="28" fillId="0" borderId="0" xfId="0" applyNumberFormat="1" applyFont="1" applyAlignment="1">
      <alignment horizontal="center" wrapText="1"/>
    </xf>
    <xf numFmtId="0" fontId="16" fillId="0" borderId="0" xfId="0" applyFont="1" applyAlignment="1">
      <alignment horizontal="center" wrapText="1"/>
    </xf>
    <xf numFmtId="0" fontId="16" fillId="0" borderId="37" xfId="0" applyFont="1" applyBorder="1" applyAlignment="1">
      <alignment horizontal="center"/>
    </xf>
    <xf numFmtId="0" fontId="16" fillId="0" borderId="16" xfId="0" applyFont="1" applyBorder="1" applyAlignment="1">
      <alignment horizontal="center"/>
    </xf>
    <xf numFmtId="0" fontId="16" fillId="0" borderId="38" xfId="0" applyFont="1" applyBorder="1" applyAlignment="1">
      <alignment horizontal="center"/>
    </xf>
    <xf numFmtId="0" fontId="16" fillId="4" borderId="12" xfId="0" applyFont="1" applyFill="1" applyBorder="1" applyAlignment="1" applyProtection="1">
      <alignment horizontal="center"/>
      <protection locked="0"/>
    </xf>
    <xf numFmtId="0" fontId="16" fillId="4" borderId="27" xfId="0" applyFont="1" applyFill="1" applyBorder="1" applyAlignment="1" applyProtection="1">
      <alignment horizontal="center"/>
      <protection locked="0"/>
    </xf>
    <xf numFmtId="0" fontId="16" fillId="4" borderId="21" xfId="0" applyFont="1" applyFill="1" applyBorder="1" applyAlignment="1" applyProtection="1">
      <alignment horizontal="center"/>
      <protection locked="0"/>
    </xf>
    <xf numFmtId="0" fontId="16" fillId="4" borderId="29" xfId="0" applyFont="1" applyFill="1" applyBorder="1" applyAlignment="1" applyProtection="1">
      <alignment horizontal="center"/>
      <protection locked="0"/>
    </xf>
    <xf numFmtId="0" fontId="28" fillId="0" borderId="12" xfId="0" applyFont="1" applyBorder="1" applyAlignment="1">
      <alignment horizontal="center"/>
    </xf>
    <xf numFmtId="0" fontId="28" fillId="0" borderId="27" xfId="0" applyFont="1" applyBorder="1" applyAlignment="1">
      <alignment horizontal="center"/>
    </xf>
    <xf numFmtId="171" fontId="29" fillId="3" borderId="21" xfId="0" applyNumberFormat="1" applyFont="1" applyFill="1" applyBorder="1" applyAlignment="1" applyProtection="1">
      <alignment horizontal="center"/>
      <protection locked="0"/>
    </xf>
    <xf numFmtId="171" fontId="16" fillId="3" borderId="21" xfId="0" applyNumberFormat="1" applyFont="1" applyFill="1" applyBorder="1" applyAlignment="1"/>
    <xf numFmtId="0" fontId="33" fillId="0" borderId="0" xfId="0" applyFont="1" applyAlignment="1">
      <alignment horizontal="center" wrapText="1"/>
    </xf>
    <xf numFmtId="0" fontId="29" fillId="4" borderId="9" xfId="0" applyFont="1" applyFill="1" applyBorder="1" applyAlignment="1" applyProtection="1">
      <alignment horizontal="center"/>
      <protection locked="0"/>
    </xf>
    <xf numFmtId="0" fontId="29" fillId="4" borderId="36" xfId="0" applyFont="1" applyFill="1" applyBorder="1" applyAlignment="1" applyProtection="1">
      <alignment horizontal="left"/>
      <protection locked="0"/>
    </xf>
    <xf numFmtId="0" fontId="29" fillId="4" borderId="6" xfId="0" applyFont="1" applyFill="1" applyBorder="1" applyAlignment="1" applyProtection="1">
      <alignment horizontal="left"/>
      <protection locked="0"/>
    </xf>
    <xf numFmtId="171" fontId="29" fillId="4" borderId="12" xfId="0" applyNumberFormat="1" applyFont="1" applyFill="1" applyBorder="1" applyAlignment="1" applyProtection="1">
      <alignment horizontal="center"/>
      <protection locked="0"/>
    </xf>
    <xf numFmtId="0" fontId="16" fillId="4" borderId="6" xfId="0" applyFont="1" applyFill="1" applyBorder="1" applyAlignment="1" applyProtection="1">
      <protection locked="0"/>
    </xf>
    <xf numFmtId="0" fontId="16" fillId="4" borderId="12" xfId="0" applyFont="1" applyFill="1" applyBorder="1" applyAlignment="1" applyProtection="1">
      <protection locked="0"/>
    </xf>
    <xf numFmtId="171" fontId="29" fillId="0" borderId="21" xfId="0" applyNumberFormat="1" applyFont="1" applyFill="1" applyBorder="1" applyAlignment="1">
      <alignment horizontal="center"/>
    </xf>
    <xf numFmtId="171" fontId="16" fillId="0" borderId="21" xfId="0" applyNumberFormat="1" applyFont="1" applyBorder="1" applyAlignment="1">
      <alignment horizontal="center"/>
    </xf>
    <xf numFmtId="0" fontId="16" fillId="0" borderId="40" xfId="0" applyFont="1" applyBorder="1" applyAlignment="1">
      <alignment horizontal="center"/>
    </xf>
    <xf numFmtId="0" fontId="16" fillId="0" borderId="45" xfId="0" applyFont="1" applyBorder="1" applyAlignment="1">
      <alignment horizontal="left"/>
    </xf>
    <xf numFmtId="0" fontId="16" fillId="0" borderId="40" xfId="0" applyFont="1" applyBorder="1" applyAlignment="1">
      <alignment horizontal="left"/>
    </xf>
    <xf numFmtId="0" fontId="28" fillId="0" borderId="0" xfId="0" applyFont="1" applyAlignment="1">
      <alignment horizontal="center" wrapText="1"/>
    </xf>
    <xf numFmtId="171" fontId="28" fillId="0" borderId="12" xfId="0" applyNumberFormat="1" applyFont="1" applyFill="1" applyBorder="1" applyAlignment="1">
      <alignment horizontal="center"/>
    </xf>
    <xf numFmtId="171" fontId="16" fillId="0" borderId="12" xfId="0" applyNumberFormat="1" applyFont="1" applyBorder="1" applyAlignment="1">
      <alignment horizontal="center"/>
    </xf>
    <xf numFmtId="171" fontId="20" fillId="0" borderId="7" xfId="0" applyNumberFormat="1" applyFont="1" applyBorder="1" applyAlignment="1">
      <alignment horizontal="center"/>
    </xf>
    <xf numFmtId="171" fontId="20" fillId="0" borderId="8" xfId="0" applyNumberFormat="1" applyFont="1" applyBorder="1" applyAlignment="1">
      <alignment horizontal="center"/>
    </xf>
    <xf numFmtId="171" fontId="20" fillId="0" borderId="9" xfId="0" applyNumberFormat="1" applyFont="1" applyBorder="1" applyAlignment="1">
      <alignment horizontal="center"/>
    </xf>
    <xf numFmtId="0" fontId="16" fillId="0" borderId="0" xfId="0" applyFont="1" applyAlignment="1">
      <alignment horizontal="center"/>
    </xf>
    <xf numFmtId="0" fontId="16" fillId="0" borderId="3" xfId="0" applyFont="1" applyBorder="1" applyAlignment="1">
      <alignment horizontal="center"/>
    </xf>
    <xf numFmtId="0" fontId="29" fillId="4" borderId="21" xfId="0" applyFont="1" applyFill="1" applyBorder="1" applyAlignment="1" applyProtection="1">
      <alignment horizontal="center"/>
      <protection locked="0"/>
    </xf>
    <xf numFmtId="171" fontId="29" fillId="4" borderId="21" xfId="0" applyNumberFormat="1" applyFont="1" applyFill="1" applyBorder="1" applyAlignment="1" applyProtection="1">
      <alignment horizontal="center"/>
      <protection locked="0"/>
    </xf>
    <xf numFmtId="0" fontId="16" fillId="2" borderId="58" xfId="0" applyFont="1" applyFill="1" applyBorder="1" applyAlignment="1">
      <alignment horizontal="center"/>
    </xf>
    <xf numFmtId="171" fontId="16" fillId="0" borderId="6" xfId="0" applyNumberFormat="1" applyFont="1" applyFill="1" applyBorder="1" applyAlignment="1">
      <alignment horizontal="center"/>
    </xf>
    <xf numFmtId="0" fontId="16" fillId="4" borderId="4" xfId="0" applyFont="1" applyFill="1" applyBorder="1" applyAlignment="1" applyProtection="1">
      <alignment horizontal="center"/>
      <protection locked="0"/>
    </xf>
    <xf numFmtId="0" fontId="16" fillId="4" borderId="49" xfId="0" applyFont="1" applyFill="1" applyBorder="1" applyAlignment="1" applyProtection="1">
      <alignment horizontal="center"/>
      <protection locked="0"/>
    </xf>
    <xf numFmtId="171" fontId="16" fillId="0" borderId="12" xfId="0" applyNumberFormat="1" applyFont="1" applyFill="1" applyBorder="1" applyAlignment="1">
      <alignment horizontal="center"/>
    </xf>
    <xf numFmtId="0" fontId="16" fillId="13" borderId="12" xfId="0" applyFont="1" applyFill="1" applyBorder="1" applyAlignment="1" applyProtection="1">
      <alignment horizontal="center"/>
      <protection locked="0"/>
    </xf>
    <xf numFmtId="0" fontId="16" fillId="2" borderId="39" xfId="0" applyFont="1" applyFill="1" applyBorder="1" applyAlignment="1">
      <alignment horizontal="left"/>
    </xf>
    <xf numFmtId="0" fontId="16" fillId="2" borderId="16" xfId="0" applyFont="1" applyFill="1" applyBorder="1" applyAlignment="1">
      <alignment horizontal="left"/>
    </xf>
    <xf numFmtId="0" fontId="16" fillId="2" borderId="20" xfId="0" applyFont="1" applyFill="1" applyBorder="1" applyAlignment="1">
      <alignment horizontal="left"/>
    </xf>
    <xf numFmtId="0" fontId="16" fillId="2" borderId="10" xfId="0" applyFont="1" applyFill="1" applyBorder="1" applyAlignment="1">
      <alignment horizontal="left"/>
    </xf>
    <xf numFmtId="0" fontId="16" fillId="2" borderId="13" xfId="0" applyFont="1" applyFill="1" applyBorder="1" applyAlignment="1">
      <alignment horizontal="left"/>
    </xf>
    <xf numFmtId="0" fontId="33" fillId="2" borderId="0" xfId="0" applyFont="1" applyFill="1" applyAlignment="1">
      <alignment horizontal="center" wrapText="1"/>
    </xf>
    <xf numFmtId="171" fontId="16" fillId="2" borderId="20" xfId="0" applyNumberFormat="1" applyFont="1" applyFill="1" applyBorder="1" applyAlignment="1">
      <alignment horizontal="center"/>
    </xf>
    <xf numFmtId="171" fontId="16" fillId="2" borderId="10" xfId="0" applyNumberFormat="1" applyFont="1" applyFill="1" applyBorder="1" applyAlignment="1">
      <alignment horizontal="center"/>
    </xf>
    <xf numFmtId="171" fontId="16" fillId="2" borderId="17" xfId="0" applyNumberFormat="1" applyFont="1" applyFill="1" applyBorder="1" applyAlignment="1">
      <alignment horizontal="center"/>
    </xf>
    <xf numFmtId="171" fontId="16" fillId="2" borderId="18" xfId="0" applyNumberFormat="1" applyFont="1" applyFill="1" applyBorder="1" applyAlignment="1">
      <alignment horizontal="center"/>
    </xf>
    <xf numFmtId="171" fontId="16" fillId="2" borderId="34" xfId="0" applyNumberFormat="1" applyFont="1" applyFill="1" applyBorder="1" applyAlignment="1">
      <alignment horizontal="center"/>
    </xf>
    <xf numFmtId="171" fontId="16" fillId="2" borderId="35" xfId="0" applyNumberFormat="1" applyFont="1" applyFill="1" applyBorder="1" applyAlignment="1">
      <alignment horizontal="center"/>
    </xf>
    <xf numFmtId="171" fontId="16" fillId="4" borderId="43" xfId="0" applyNumberFormat="1" applyFont="1" applyFill="1" applyBorder="1" applyAlignment="1" applyProtection="1">
      <alignment horizontal="center"/>
      <protection locked="0"/>
    </xf>
    <xf numFmtId="171" fontId="16" fillId="4" borderId="10" xfId="0" applyNumberFormat="1" applyFont="1" applyFill="1" applyBorder="1" applyAlignment="1" applyProtection="1">
      <alignment horizontal="center"/>
      <protection locked="0"/>
    </xf>
    <xf numFmtId="171" fontId="16" fillId="4" borderId="13" xfId="0" applyNumberFormat="1" applyFont="1" applyFill="1" applyBorder="1" applyAlignment="1" applyProtection="1">
      <alignment horizontal="center"/>
      <protection locked="0"/>
    </xf>
    <xf numFmtId="0" fontId="16" fillId="0" borderId="34" xfId="0" applyFont="1" applyBorder="1" applyAlignment="1">
      <alignment horizontal="center"/>
    </xf>
    <xf numFmtId="0" fontId="16" fillId="0" borderId="18" xfId="0" applyFont="1" applyBorder="1" applyAlignment="1"/>
    <xf numFmtId="0" fontId="16" fillId="0" borderId="50" xfId="0" applyFont="1" applyBorder="1" applyAlignment="1"/>
    <xf numFmtId="0" fontId="37" fillId="4" borderId="0" xfId="3" applyFont="1" applyFill="1" applyBorder="1" applyAlignment="1" applyProtection="1">
      <alignment horizontal="center" vertical="center" wrapText="1"/>
      <protection locked="0"/>
    </xf>
    <xf numFmtId="0" fontId="16" fillId="13" borderId="12" xfId="0" applyFont="1" applyFill="1" applyBorder="1" applyAlignment="1" applyProtection="1">
      <alignment horizontal="right"/>
      <protection locked="0"/>
    </xf>
    <xf numFmtId="171" fontId="16" fillId="0" borderId="21" xfId="0" applyNumberFormat="1" applyFont="1" applyFill="1" applyBorder="1" applyAlignment="1">
      <alignment horizontal="center"/>
    </xf>
    <xf numFmtId="0" fontId="28" fillId="0" borderId="43" xfId="0" applyFont="1" applyBorder="1" applyAlignment="1">
      <alignment horizontal="center"/>
    </xf>
    <xf numFmtId="0" fontId="16" fillId="0" borderId="44" xfId="0" applyFont="1" applyBorder="1" applyAlignment="1">
      <alignment horizontal="center"/>
    </xf>
    <xf numFmtId="0" fontId="16" fillId="13" borderId="12" xfId="0" applyFont="1" applyFill="1" applyBorder="1" applyAlignment="1" applyProtection="1">
      <alignment horizontal="left"/>
      <protection locked="0"/>
    </xf>
    <xf numFmtId="0" fontId="16" fillId="13" borderId="27" xfId="0" applyFont="1" applyFill="1" applyBorder="1" applyAlignment="1" applyProtection="1">
      <alignment horizontal="left"/>
      <protection locked="0"/>
    </xf>
    <xf numFmtId="0" fontId="16" fillId="2" borderId="37" xfId="0" applyFont="1" applyFill="1" applyBorder="1" applyAlignment="1">
      <alignment horizontal="center"/>
    </xf>
    <xf numFmtId="0" fontId="16" fillId="2" borderId="16" xfId="0" applyFont="1" applyFill="1" applyBorder="1" applyAlignment="1">
      <alignment horizontal="center"/>
    </xf>
    <xf numFmtId="0" fontId="16" fillId="2" borderId="38" xfId="0" applyFont="1" applyFill="1" applyBorder="1" applyAlignment="1">
      <alignment horizontal="center"/>
    </xf>
    <xf numFmtId="171" fontId="16" fillId="4" borderId="6" xfId="0" applyNumberFormat="1" applyFont="1" applyFill="1" applyBorder="1" applyAlignment="1" applyProtection="1">
      <alignment horizontal="center"/>
      <protection locked="0"/>
    </xf>
    <xf numFmtId="0" fontId="28" fillId="0" borderId="11" xfId="0" applyFont="1" applyBorder="1" applyAlignment="1">
      <alignment horizontal="left"/>
    </xf>
    <xf numFmtId="0" fontId="16" fillId="0" borderId="12" xfId="0" applyFont="1" applyBorder="1" applyAlignment="1">
      <alignment horizontal="left"/>
    </xf>
    <xf numFmtId="0" fontId="16" fillId="0" borderId="46" xfId="0" applyFont="1" applyBorder="1" applyAlignment="1">
      <alignment horizontal="center"/>
    </xf>
    <xf numFmtId="0" fontId="16" fillId="0" borderId="40" xfId="0" applyFont="1" applyBorder="1" applyAlignment="1"/>
    <xf numFmtId="0" fontId="32" fillId="0" borderId="0" xfId="0" applyFont="1" applyAlignment="1">
      <alignment horizontal="center" wrapText="1"/>
    </xf>
    <xf numFmtId="0" fontId="16" fillId="2" borderId="57" xfId="0" applyFont="1" applyFill="1" applyBorder="1" applyAlignment="1">
      <alignment horizontal="left"/>
    </xf>
    <xf numFmtId="0" fontId="16" fillId="2" borderId="58" xfId="0" applyFont="1" applyFill="1" applyBorder="1" applyAlignment="1">
      <alignment horizontal="left"/>
    </xf>
    <xf numFmtId="0" fontId="33" fillId="2" borderId="16" xfId="0" applyFont="1" applyFill="1" applyBorder="1" applyAlignment="1">
      <alignment horizontal="center" wrapText="1"/>
    </xf>
    <xf numFmtId="0" fontId="16" fillId="2" borderId="40" xfId="0" applyFont="1" applyFill="1" applyBorder="1" applyAlignment="1">
      <alignment horizontal="center"/>
    </xf>
    <xf numFmtId="0" fontId="16" fillId="2" borderId="12" xfId="0" applyFont="1" applyFill="1" applyBorder="1" applyAlignment="1">
      <alignment horizontal="center"/>
    </xf>
    <xf numFmtId="171" fontId="16" fillId="2" borderId="40" xfId="0" applyNumberFormat="1" applyFont="1" applyFill="1" applyBorder="1" applyAlignment="1">
      <alignment horizontal="center"/>
    </xf>
    <xf numFmtId="171" fontId="16" fillId="2" borderId="12" xfId="0" applyNumberFormat="1" applyFont="1" applyFill="1" applyBorder="1" applyAlignment="1">
      <alignment horizontal="center"/>
    </xf>
    <xf numFmtId="171" fontId="16" fillId="4" borderId="58" xfId="0" applyNumberFormat="1" applyFont="1" applyFill="1" applyBorder="1" applyAlignment="1" applyProtection="1">
      <alignment horizontal="center"/>
      <protection locked="0"/>
    </xf>
    <xf numFmtId="0" fontId="16" fillId="2" borderId="11" xfId="0" applyFont="1" applyFill="1" applyBorder="1" applyAlignment="1">
      <alignment horizontal="left"/>
    </xf>
    <xf numFmtId="0" fontId="16" fillId="2" borderId="12" xfId="0" applyFont="1" applyFill="1" applyBorder="1" applyAlignment="1">
      <alignment horizontal="left"/>
    </xf>
    <xf numFmtId="171" fontId="16" fillId="4" borderId="12" xfId="0" applyNumberFormat="1" applyFont="1" applyFill="1" applyBorder="1" applyAlignment="1" applyProtection="1">
      <alignment horizontal="center"/>
      <protection locked="0"/>
    </xf>
    <xf numFmtId="0" fontId="16" fillId="2" borderId="45" xfId="0" applyFont="1" applyFill="1" applyBorder="1" applyAlignment="1">
      <alignment horizontal="left"/>
    </xf>
    <xf numFmtId="0" fontId="16" fillId="2" borderId="40" xfId="0" applyFont="1" applyFill="1" applyBorder="1" applyAlignment="1">
      <alignment horizontal="left"/>
    </xf>
    <xf numFmtId="168" fontId="16" fillId="2" borderId="40" xfId="0" applyNumberFormat="1" applyFont="1" applyFill="1" applyBorder="1" applyAlignment="1">
      <alignment horizontal="center"/>
    </xf>
    <xf numFmtId="168" fontId="16" fillId="2" borderId="46" xfId="0" applyNumberFormat="1" applyFont="1" applyFill="1" applyBorder="1" applyAlignment="1">
      <alignment horizontal="center"/>
    </xf>
    <xf numFmtId="168" fontId="16" fillId="2" borderId="12" xfId="0" applyNumberFormat="1" applyFont="1" applyFill="1" applyBorder="1" applyAlignment="1">
      <alignment horizontal="center"/>
    </xf>
    <xf numFmtId="168" fontId="16" fillId="2" borderId="27" xfId="0" applyNumberFormat="1" applyFont="1" applyFill="1" applyBorder="1" applyAlignment="1">
      <alignment horizontal="center"/>
    </xf>
    <xf numFmtId="0" fontId="16" fillId="2" borderId="59" xfId="0" applyFont="1" applyFill="1" applyBorder="1" applyAlignment="1">
      <alignment horizontal="center"/>
    </xf>
    <xf numFmtId="0" fontId="38" fillId="14" borderId="19" xfId="0" applyFont="1" applyFill="1" applyBorder="1" applyAlignment="1">
      <alignment horizontal="center"/>
    </xf>
    <xf numFmtId="0" fontId="38" fillId="14" borderId="0" xfId="0" applyFont="1" applyFill="1" applyBorder="1" applyAlignment="1">
      <alignment horizontal="center"/>
    </xf>
    <xf numFmtId="0" fontId="16" fillId="4" borderId="19" xfId="0" applyFont="1" applyFill="1" applyBorder="1" applyAlignment="1">
      <alignment horizontal="center"/>
    </xf>
    <xf numFmtId="0" fontId="16" fillId="4" borderId="0" xfId="0" applyFont="1" applyFill="1" applyBorder="1" applyAlignment="1">
      <alignment horizontal="center"/>
    </xf>
    <xf numFmtId="0" fontId="39" fillId="0" borderId="19" xfId="0" applyFont="1" applyFill="1" applyBorder="1" applyAlignment="1">
      <alignment horizontal="center" wrapText="1"/>
    </xf>
    <xf numFmtId="0" fontId="39" fillId="0" borderId="0" xfId="0" applyFont="1" applyFill="1" applyBorder="1" applyAlignment="1">
      <alignment horizontal="center" wrapText="1"/>
    </xf>
    <xf numFmtId="0" fontId="32" fillId="0" borderId="19" xfId="0" applyFont="1" applyFill="1" applyBorder="1" applyAlignment="1">
      <alignment horizontal="center" vertical="top" wrapText="1"/>
    </xf>
    <xf numFmtId="0" fontId="32" fillId="0" borderId="0" xfId="0" applyFont="1" applyFill="1" applyBorder="1" applyAlignment="1">
      <alignment horizontal="center" vertical="top" wrapText="1"/>
    </xf>
    <xf numFmtId="0" fontId="24" fillId="0" borderId="36" xfId="0" applyFont="1" applyBorder="1" applyAlignment="1">
      <alignment horizontal="left" vertical="center"/>
    </xf>
    <xf numFmtId="0" fontId="24" fillId="0" borderId="6" xfId="0" applyFont="1" applyBorder="1" applyAlignment="1">
      <alignment horizontal="left" vertical="center"/>
    </xf>
    <xf numFmtId="0" fontId="20" fillId="4" borderId="34"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16" fillId="4" borderId="18" xfId="0" applyFont="1" applyFill="1" applyBorder="1" applyAlignment="1" applyProtection="1">
      <alignment vertical="center"/>
      <protection locked="0"/>
    </xf>
    <xf numFmtId="0" fontId="16" fillId="4" borderId="35" xfId="0" applyFont="1" applyFill="1" applyBorder="1" applyAlignment="1" applyProtection="1">
      <alignment vertical="center"/>
      <protection locked="0"/>
    </xf>
    <xf numFmtId="49" fontId="16" fillId="4" borderId="0"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0" xfId="0" applyFont="1" applyAlignment="1">
      <alignment horizontal="right" vertical="center"/>
    </xf>
    <xf numFmtId="0" fontId="20" fillId="4" borderId="2"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protection locked="0"/>
    </xf>
    <xf numFmtId="0" fontId="16" fillId="4" borderId="0" xfId="0" applyFont="1" applyFill="1" applyBorder="1" applyAlignment="1" applyProtection="1">
      <protection locked="0"/>
    </xf>
    <xf numFmtId="0" fontId="16" fillId="4" borderId="56" xfId="0" applyFont="1" applyFill="1" applyBorder="1" applyAlignment="1" applyProtection="1">
      <protection locked="0"/>
    </xf>
    <xf numFmtId="0" fontId="20" fillId="0" borderId="15" xfId="0" applyFont="1" applyBorder="1" applyAlignment="1">
      <alignment horizontal="left" vertical="center"/>
    </xf>
    <xf numFmtId="0" fontId="20" fillId="0" borderId="0" xfId="0" applyFont="1" applyBorder="1" applyAlignment="1">
      <alignment horizontal="right" vertical="center"/>
    </xf>
    <xf numFmtId="1" fontId="20" fillId="4" borderId="43" xfId="0" applyNumberFormat="1" applyFont="1" applyFill="1" applyBorder="1" applyAlignment="1" applyProtection="1">
      <alignment horizontal="left" vertical="center"/>
      <protection locked="0"/>
    </xf>
    <xf numFmtId="1" fontId="20" fillId="4" borderId="44" xfId="0" applyNumberFormat="1" applyFont="1" applyFill="1" applyBorder="1" applyAlignment="1" applyProtection="1">
      <alignment horizontal="left" vertical="center"/>
      <protection locked="0"/>
    </xf>
    <xf numFmtId="0" fontId="20" fillId="4" borderId="10" xfId="0" applyFont="1" applyFill="1" applyBorder="1" applyAlignment="1" applyProtection="1">
      <alignment horizontal="right" vertical="center"/>
      <protection locked="0"/>
    </xf>
    <xf numFmtId="0" fontId="20" fillId="4" borderId="44" xfId="0" applyFont="1" applyFill="1" applyBorder="1" applyAlignment="1" applyProtection="1">
      <alignment horizontal="right" vertical="center"/>
      <protection locked="0"/>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24" fillId="0" borderId="22" xfId="0" applyFont="1" applyBorder="1" applyAlignment="1">
      <alignment horizontal="center" vertical="center"/>
    </xf>
    <xf numFmtId="0" fontId="24" fillId="0" borderId="55" xfId="0" applyFont="1" applyBorder="1" applyAlignment="1">
      <alignment horizontal="center" vertical="center"/>
    </xf>
    <xf numFmtId="0" fontId="20" fillId="4" borderId="43" xfId="0" applyFont="1" applyFill="1" applyBorder="1" applyAlignment="1" applyProtection="1">
      <alignment horizontal="right" vertical="center"/>
      <protection locked="0"/>
    </xf>
    <xf numFmtId="0" fontId="22" fillId="0" borderId="39" xfId="0" applyFont="1" applyBorder="1" applyAlignment="1">
      <alignment horizontal="center" vertical="center"/>
    </xf>
    <xf numFmtId="0" fontId="22" fillId="0" borderId="16" xfId="0" applyFont="1" applyBorder="1" applyAlignment="1">
      <alignment horizontal="center" vertical="center"/>
    </xf>
    <xf numFmtId="0" fontId="22" fillId="0" borderId="38" xfId="0" applyFont="1" applyBorder="1" applyAlignment="1">
      <alignment horizontal="center" vertical="center"/>
    </xf>
    <xf numFmtId="0" fontId="22" fillId="0" borderId="51" xfId="0" applyFont="1" applyBorder="1" applyAlignment="1">
      <alignment horizontal="center" vertical="center"/>
    </xf>
    <xf numFmtId="0" fontId="22" fillId="0" borderId="15" xfId="0" applyFont="1" applyBorder="1" applyAlignment="1">
      <alignment horizontal="center" vertical="center"/>
    </xf>
    <xf numFmtId="0" fontId="22" fillId="0" borderId="33" xfId="0" applyFont="1" applyBorder="1" applyAlignment="1">
      <alignment horizontal="center" vertical="center"/>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54" xfId="0" applyFont="1" applyFill="1" applyBorder="1" applyAlignment="1">
      <alignment horizontal="center" vertical="center"/>
    </xf>
    <xf numFmtId="0" fontId="16" fillId="0" borderId="43" xfId="0" applyFont="1" applyBorder="1" applyAlignment="1">
      <alignment horizontal="right" vertical="center"/>
    </xf>
    <xf numFmtId="0" fontId="16" fillId="0" borderId="44" xfId="0" applyFont="1" applyBorder="1" applyAlignment="1">
      <alignment horizontal="right" vertical="center"/>
    </xf>
    <xf numFmtId="0" fontId="16" fillId="0" borderId="15" xfId="0" applyFont="1" applyBorder="1" applyAlignment="1">
      <alignment horizontal="center" vertical="center"/>
    </xf>
    <xf numFmtId="0" fontId="16" fillId="0" borderId="15" xfId="0" applyFont="1" applyBorder="1" applyAlignment="1"/>
    <xf numFmtId="0" fontId="16" fillId="0" borderId="33" xfId="0" applyFont="1" applyBorder="1" applyAlignment="1"/>
    <xf numFmtId="0" fontId="23" fillId="4" borderId="17" xfId="0" applyFont="1" applyFill="1" applyBorder="1" applyAlignment="1" applyProtection="1">
      <alignment horizontal="center" vertical="center"/>
      <protection locked="0"/>
    </xf>
    <xf numFmtId="0" fontId="23" fillId="4" borderId="18" xfId="0" applyFont="1" applyFill="1" applyBorder="1" applyAlignment="1" applyProtection="1">
      <alignment horizontal="center" vertical="center"/>
      <protection locked="0"/>
    </xf>
    <xf numFmtId="0" fontId="23" fillId="4" borderId="35"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16" fillId="4" borderId="8" xfId="0" applyFont="1" applyFill="1" applyBorder="1" applyAlignment="1" applyProtection="1">
      <protection locked="0"/>
    </xf>
    <xf numFmtId="0" fontId="16" fillId="4" borderId="31" xfId="0" applyFont="1" applyFill="1" applyBorder="1" applyAlignment="1" applyProtection="1">
      <protection locked="0"/>
    </xf>
    <xf numFmtId="0" fontId="16" fillId="0" borderId="51" xfId="0" applyFont="1" applyBorder="1" applyAlignment="1">
      <alignment horizontal="center" vertical="center"/>
    </xf>
    <xf numFmtId="0" fontId="16" fillId="0" borderId="33" xfId="0" applyFont="1" applyBorder="1" applyAlignment="1">
      <alignment horizontal="center"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50" xfId="0" applyFont="1" applyBorder="1" applyAlignment="1">
      <alignment horizontal="left" vertical="center"/>
    </xf>
    <xf numFmtId="0" fontId="24" fillId="0" borderId="45" xfId="0" applyFont="1" applyBorder="1" applyAlignment="1">
      <alignment horizontal="left" vertical="center"/>
    </xf>
    <xf numFmtId="0" fontId="24" fillId="0" borderId="40" xfId="0" applyFont="1" applyBorder="1" applyAlignment="1">
      <alignment horizontal="left" vertical="center"/>
    </xf>
    <xf numFmtId="0" fontId="24" fillId="0" borderId="46"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27" xfId="0" applyFont="1" applyBorder="1" applyAlignment="1">
      <alignment horizontal="left" vertical="center"/>
    </xf>
    <xf numFmtId="0" fontId="20" fillId="0" borderId="0" xfId="0" applyFont="1" applyAlignment="1">
      <alignment horizontal="left" vertical="center"/>
    </xf>
    <xf numFmtId="0" fontId="24" fillId="0" borderId="20" xfId="0" applyFont="1" applyBorder="1" applyAlignment="1">
      <alignment horizontal="left" vertical="center"/>
    </xf>
    <xf numFmtId="0" fontId="24" fillId="0" borderId="10" xfId="0" applyFont="1" applyBorder="1" applyAlignment="1">
      <alignment horizontal="left" vertical="center"/>
    </xf>
    <xf numFmtId="0" fontId="24" fillId="0" borderId="44" xfId="0" applyFont="1" applyBorder="1" applyAlignment="1">
      <alignment horizontal="left" vertical="center"/>
    </xf>
    <xf numFmtId="0" fontId="28" fillId="0" borderId="12" xfId="0" applyFont="1" applyBorder="1" applyAlignment="1">
      <alignment horizontal="left"/>
    </xf>
    <xf numFmtId="171" fontId="28" fillId="0" borderId="12" xfId="0" applyNumberFormat="1" applyFont="1" applyBorder="1" applyAlignment="1">
      <alignment horizontal="center"/>
    </xf>
    <xf numFmtId="0" fontId="16" fillId="0" borderId="12" xfId="0" applyFont="1" applyBorder="1" applyAlignment="1"/>
    <xf numFmtId="0" fontId="18" fillId="0" borderId="40" xfId="0" applyFont="1" applyBorder="1" applyAlignment="1">
      <alignment horizontal="center"/>
    </xf>
    <xf numFmtId="0" fontId="20" fillId="4" borderId="37"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16" fillId="4" borderId="16" xfId="0" applyFont="1" applyFill="1" applyBorder="1" applyAlignment="1" applyProtection="1">
      <protection locked="0"/>
    </xf>
    <xf numFmtId="0" fontId="16" fillId="4" borderId="38" xfId="0" applyFont="1" applyFill="1" applyBorder="1" applyAlignment="1" applyProtection="1">
      <protection locked="0"/>
    </xf>
    <xf numFmtId="0" fontId="16" fillId="0" borderId="40" xfId="0" applyFont="1" applyFill="1" applyBorder="1" applyAlignment="1" applyProtection="1">
      <alignment horizontal="center"/>
      <protection locked="0"/>
    </xf>
    <xf numFmtId="0" fontId="16" fillId="0" borderId="46" xfId="0" applyFont="1" applyFill="1" applyBorder="1" applyAlignment="1" applyProtection="1">
      <alignment horizontal="center"/>
      <protection locked="0"/>
    </xf>
    <xf numFmtId="0" fontId="16" fillId="4" borderId="21" xfId="0" applyFont="1" applyFill="1" applyBorder="1" applyAlignment="1" applyProtection="1">
      <protection locked="0"/>
    </xf>
    <xf numFmtId="0" fontId="20" fillId="4" borderId="10" xfId="0" applyFont="1" applyFill="1" applyBorder="1" applyAlignment="1" applyProtection="1">
      <alignment horizontal="center" vertical="center"/>
      <protection locked="0"/>
    </xf>
    <xf numFmtId="0" fontId="20" fillId="4" borderId="44" xfId="0" applyFont="1" applyFill="1" applyBorder="1" applyAlignment="1" applyProtection="1">
      <alignment horizontal="center" vertical="center"/>
      <protection locked="0"/>
    </xf>
    <xf numFmtId="0" fontId="29" fillId="4" borderId="41" xfId="0" applyFont="1" applyFill="1" applyBorder="1" applyAlignment="1" applyProtection="1">
      <alignment horizontal="left"/>
      <protection locked="0"/>
    </xf>
    <xf numFmtId="0" fontId="29" fillId="4" borderId="21" xfId="0" applyFont="1" applyFill="1" applyBorder="1" applyAlignment="1" applyProtection="1">
      <alignment horizontal="left"/>
      <protection locked="0"/>
    </xf>
    <xf numFmtId="0" fontId="16" fillId="4" borderId="47" xfId="0" applyFont="1" applyFill="1" applyBorder="1" applyAlignment="1" applyProtection="1">
      <alignment horizontal="left" vertical="top" wrapText="1"/>
      <protection locked="0"/>
    </xf>
    <xf numFmtId="0" fontId="16" fillId="4" borderId="14" xfId="0" applyFont="1" applyFill="1" applyBorder="1" applyAlignment="1" applyProtection="1">
      <alignment horizontal="left" vertical="top" wrapText="1"/>
      <protection locked="0"/>
    </xf>
    <xf numFmtId="0" fontId="16" fillId="4" borderId="48" xfId="0" applyFont="1" applyFill="1" applyBorder="1" applyAlignment="1" applyProtection="1">
      <alignment horizontal="left" vertical="top" wrapText="1"/>
      <protection locked="0"/>
    </xf>
    <xf numFmtId="0" fontId="16" fillId="4" borderId="2" xfId="0" applyFont="1" applyFill="1" applyBorder="1" applyAlignment="1" applyProtection="1">
      <alignment horizontal="left" vertical="top" wrapText="1"/>
      <protection locked="0"/>
    </xf>
    <xf numFmtId="0" fontId="16" fillId="4" borderId="0" xfId="0" applyFont="1" applyFill="1" applyBorder="1" applyAlignment="1" applyProtection="1">
      <alignment horizontal="left" vertical="top" wrapText="1"/>
      <protection locked="0"/>
    </xf>
    <xf numFmtId="0" fontId="16" fillId="4" borderId="3" xfId="0" applyFont="1" applyFill="1" applyBorder="1" applyAlignment="1" applyProtection="1">
      <alignment horizontal="left" vertical="top" wrapText="1"/>
      <protection locked="0"/>
    </xf>
    <xf numFmtId="0" fontId="16" fillId="4" borderId="4" xfId="0" applyFont="1" applyFill="1" applyBorder="1" applyAlignment="1" applyProtection="1">
      <alignment horizontal="left" vertical="top" wrapText="1"/>
      <protection locked="0"/>
    </xf>
    <xf numFmtId="0" fontId="16" fillId="4" borderId="5" xfId="0" applyFont="1" applyFill="1" applyBorder="1" applyAlignment="1" applyProtection="1">
      <alignment horizontal="left" vertical="top" wrapText="1"/>
      <protection locked="0"/>
    </xf>
    <xf numFmtId="0" fontId="16" fillId="4" borderId="49" xfId="0" applyFont="1" applyFill="1" applyBorder="1" applyAlignment="1" applyProtection="1">
      <alignment horizontal="left" vertical="top" wrapText="1"/>
      <protection locked="0"/>
    </xf>
    <xf numFmtId="0" fontId="20" fillId="4" borderId="43" xfId="0" applyFont="1" applyFill="1" applyBorder="1" applyAlignment="1" applyProtection="1">
      <alignment horizontal="center" vertical="center"/>
      <protection locked="0"/>
    </xf>
    <xf numFmtId="0" fontId="16" fillId="0" borderId="17" xfId="0" applyFont="1" applyBorder="1" applyAlignment="1">
      <alignment horizontal="left"/>
    </xf>
    <xf numFmtId="0" fontId="16" fillId="0" borderId="18" xfId="0" applyFont="1" applyBorder="1" applyAlignment="1">
      <alignment horizontal="left"/>
    </xf>
    <xf numFmtId="0" fontId="16" fillId="0" borderId="50" xfId="0" applyFont="1" applyBorder="1" applyAlignment="1">
      <alignment horizontal="left"/>
    </xf>
    <xf numFmtId="0" fontId="20" fillId="0" borderId="0" xfId="0" applyFont="1" applyBorder="1" applyAlignment="1">
      <alignment horizontal="left"/>
    </xf>
    <xf numFmtId="0" fontId="21" fillId="0" borderId="0" xfId="0" applyFont="1" applyAlignment="1">
      <alignment horizontal="right"/>
    </xf>
    <xf numFmtId="0" fontId="16" fillId="4" borderId="6" xfId="0" applyFont="1" applyFill="1" applyBorder="1" applyAlignment="1" applyProtection="1">
      <alignment horizontal="left"/>
      <protection locked="0"/>
    </xf>
    <xf numFmtId="0" fontId="16" fillId="4" borderId="28" xfId="0" applyFont="1" applyFill="1" applyBorder="1" applyAlignment="1" applyProtection="1">
      <alignment horizontal="left"/>
      <protection locked="0"/>
    </xf>
    <xf numFmtId="2" fontId="31" fillId="14" borderId="0" xfId="0" applyNumberFormat="1" applyFont="1" applyFill="1" applyAlignment="1">
      <alignment horizontal="center" vertical="center" wrapText="1"/>
    </xf>
    <xf numFmtId="0" fontId="16" fillId="0" borderId="0" xfId="0" applyFont="1" applyAlignment="1">
      <alignment horizontal="center" vertical="center" wrapText="1"/>
    </xf>
    <xf numFmtId="0" fontId="16" fillId="4" borderId="36" xfId="0" applyFont="1" applyFill="1" applyBorder="1" applyAlignment="1" applyProtection="1">
      <alignment horizontal="left"/>
      <protection locked="0"/>
    </xf>
    <xf numFmtId="164" fontId="16" fillId="0" borderId="6" xfId="0" applyNumberFormat="1" applyFont="1" applyFill="1" applyBorder="1" applyAlignment="1" applyProtection="1">
      <alignment horizontal="center"/>
    </xf>
    <xf numFmtId="0" fontId="16" fillId="4" borderId="11" xfId="0" applyFont="1" applyFill="1" applyBorder="1" applyAlignment="1" applyProtection="1">
      <alignment horizontal="left"/>
      <protection locked="0"/>
    </xf>
    <xf numFmtId="0" fontId="16" fillId="4" borderId="12" xfId="0" applyFont="1" applyFill="1" applyBorder="1" applyAlignment="1" applyProtection="1">
      <alignment horizontal="left"/>
      <protection locked="0"/>
    </xf>
    <xf numFmtId="0" fontId="20" fillId="0" borderId="8" xfId="0" applyFont="1" applyBorder="1" applyAlignment="1">
      <alignment horizontal="center"/>
    </xf>
    <xf numFmtId="0" fontId="20" fillId="0" borderId="9" xfId="0" applyFont="1" applyBorder="1" applyAlignment="1">
      <alignment horizontal="center"/>
    </xf>
    <xf numFmtId="0" fontId="16" fillId="3" borderId="21" xfId="0" applyFont="1" applyFill="1" applyBorder="1" applyAlignment="1" applyProtection="1">
      <alignment horizontal="center"/>
      <protection locked="0"/>
    </xf>
    <xf numFmtId="0" fontId="16" fillId="0" borderId="21" xfId="0" applyFont="1" applyBorder="1" applyAlignment="1">
      <alignment horizontal="center"/>
    </xf>
    <xf numFmtId="171" fontId="16" fillId="0" borderId="42" xfId="0" applyNumberFormat="1" applyFont="1" applyFill="1" applyBorder="1" applyAlignment="1">
      <alignment horizontal="center"/>
    </xf>
    <xf numFmtId="171" fontId="16" fillId="4" borderId="21" xfId="0" applyNumberFormat="1" applyFont="1" applyFill="1" applyBorder="1" applyAlignment="1" applyProtection="1">
      <alignment horizontal="center"/>
      <protection locked="0"/>
    </xf>
    <xf numFmtId="0" fontId="16" fillId="4" borderId="41" xfId="0" applyFont="1" applyFill="1" applyBorder="1" applyAlignment="1" applyProtection="1">
      <alignment horizontal="left"/>
      <protection locked="0"/>
    </xf>
    <xf numFmtId="0" fontId="16" fillId="4" borderId="21" xfId="0" applyFont="1" applyFill="1" applyBorder="1" applyAlignment="1" applyProtection="1">
      <alignment horizontal="left"/>
      <protection locked="0"/>
    </xf>
    <xf numFmtId="171" fontId="16" fillId="0" borderId="6" xfId="0" applyNumberFormat="1" applyFont="1" applyFill="1" applyBorder="1" applyAlignment="1" applyProtection="1">
      <alignment horizontal="center"/>
    </xf>
    <xf numFmtId="0" fontId="16" fillId="3" borderId="36" xfId="0" applyFont="1" applyFill="1" applyBorder="1" applyAlignment="1" applyProtection="1">
      <alignment horizontal="left"/>
      <protection locked="0"/>
    </xf>
    <xf numFmtId="0" fontId="16" fillId="0" borderId="6" xfId="0" applyFont="1" applyBorder="1" applyAlignment="1">
      <alignment horizontal="left"/>
    </xf>
    <xf numFmtId="0" fontId="29" fillId="4" borderId="11" xfId="0" applyFont="1" applyFill="1" applyBorder="1" applyAlignment="1" applyProtection="1">
      <alignment horizontal="left"/>
      <protection locked="0"/>
    </xf>
    <xf numFmtId="0" fontId="29" fillId="4" borderId="12" xfId="0" applyFont="1" applyFill="1" applyBorder="1" applyAlignment="1" applyProtection="1">
      <alignment horizontal="left"/>
      <protection locked="0"/>
    </xf>
    <xf numFmtId="0" fontId="28" fillId="0" borderId="0" xfId="0" applyFont="1" applyAlignment="1">
      <alignment horizontal="left" wrapText="1"/>
    </xf>
    <xf numFmtId="4" fontId="29" fillId="4" borderId="43" xfId="0" applyNumberFormat="1" applyFont="1" applyFill="1" applyBorder="1" applyAlignment="1" applyProtection="1">
      <alignment horizontal="center"/>
      <protection locked="0"/>
    </xf>
    <xf numFmtId="4" fontId="29" fillId="4" borderId="44" xfId="0" applyNumberFormat="1" applyFont="1" applyFill="1" applyBorder="1" applyAlignment="1" applyProtection="1">
      <alignment horizontal="center"/>
      <protection locked="0"/>
    </xf>
    <xf numFmtId="4" fontId="28" fillId="0" borderId="12" xfId="0" applyNumberFormat="1" applyFont="1" applyFill="1" applyBorder="1" applyAlignment="1">
      <alignment horizontal="center"/>
    </xf>
    <xf numFmtId="0" fontId="28" fillId="0" borderId="32" xfId="0" applyFont="1" applyBorder="1" applyAlignment="1">
      <alignment horizontal="center"/>
    </xf>
    <xf numFmtId="0" fontId="28" fillId="0" borderId="15" xfId="0" applyFont="1" applyBorder="1" applyAlignment="1">
      <alignment horizontal="center"/>
    </xf>
    <xf numFmtId="0" fontId="28" fillId="0" borderId="33" xfId="0" applyFont="1" applyBorder="1" applyAlignment="1">
      <alignment horizontal="center"/>
    </xf>
    <xf numFmtId="0" fontId="16" fillId="4" borderId="12" xfId="0" applyNumberFormat="1" applyFont="1" applyFill="1" applyBorder="1" applyAlignment="1" applyProtection="1">
      <alignment horizontal="center"/>
      <protection locked="0"/>
    </xf>
    <xf numFmtId="0" fontId="16" fillId="4" borderId="6" xfId="0" applyNumberFormat="1" applyFont="1" applyFill="1" applyBorder="1" applyAlignment="1" applyProtection="1">
      <alignment horizontal="center"/>
      <protection locked="0"/>
    </xf>
    <xf numFmtId="164" fontId="16" fillId="0" borderId="12" xfId="0" applyNumberFormat="1" applyFont="1" applyFill="1" applyBorder="1" applyAlignment="1" applyProtection="1">
      <alignment horizontal="center"/>
    </xf>
    <xf numFmtId="0" fontId="16" fillId="3" borderId="6" xfId="0" applyFont="1" applyFill="1" applyBorder="1" applyAlignment="1" applyProtection="1">
      <alignment horizontal="center"/>
      <protection locked="0"/>
    </xf>
    <xf numFmtId="0" fontId="16" fillId="0" borderId="6" xfId="0" applyFont="1" applyBorder="1" applyAlignment="1">
      <alignment horizontal="center"/>
    </xf>
    <xf numFmtId="171" fontId="29" fillId="0" borderId="12" xfId="0" applyNumberFormat="1" applyFont="1" applyFill="1" applyBorder="1" applyAlignment="1">
      <alignment horizontal="center"/>
    </xf>
    <xf numFmtId="0" fontId="16" fillId="4" borderId="21" xfId="0" applyNumberFormat="1" applyFont="1" applyFill="1" applyBorder="1" applyAlignment="1" applyProtection="1">
      <alignment horizontal="center"/>
      <protection locked="0"/>
    </xf>
    <xf numFmtId="0" fontId="41" fillId="2" borderId="0" xfId="0" applyFont="1" applyFill="1" applyAlignment="1">
      <alignment horizontal="center" wrapText="1"/>
    </xf>
    <xf numFmtId="0" fontId="31" fillId="12" borderId="0" xfId="0" applyFont="1" applyFill="1" applyAlignment="1">
      <alignment horizontal="center" vertical="center"/>
    </xf>
    <xf numFmtId="0" fontId="16" fillId="0" borderId="11" xfId="0" applyFont="1" applyBorder="1" applyAlignment="1">
      <alignment horizontal="left"/>
    </xf>
    <xf numFmtId="0" fontId="16" fillId="2" borderId="39" xfId="0" applyFont="1" applyFill="1" applyBorder="1" applyAlignment="1">
      <alignment horizontal="center"/>
    </xf>
    <xf numFmtId="0" fontId="16" fillId="0" borderId="12" xfId="0" applyFont="1" applyBorder="1" applyAlignment="1">
      <alignment horizontal="center"/>
    </xf>
    <xf numFmtId="164" fontId="16" fillId="3" borderId="6" xfId="0" applyNumberFormat="1" applyFont="1" applyFill="1" applyBorder="1" applyAlignment="1" applyProtection="1">
      <alignment horizontal="center"/>
    </xf>
    <xf numFmtId="171" fontId="16" fillId="0" borderId="21" xfId="0" applyNumberFormat="1" applyFont="1" applyFill="1" applyBorder="1" applyAlignment="1" applyProtection="1">
      <alignment horizontal="center"/>
    </xf>
    <xf numFmtId="0" fontId="16" fillId="3" borderId="41" xfId="0" applyFont="1" applyFill="1" applyBorder="1" applyAlignment="1" applyProtection="1">
      <alignment horizontal="left"/>
      <protection locked="0"/>
    </xf>
    <xf numFmtId="0" fontId="16" fillId="0" borderId="21" xfId="0" applyFont="1" applyBorder="1" applyAlignment="1">
      <alignment horizontal="left"/>
    </xf>
    <xf numFmtId="0" fontId="40" fillId="2" borderId="0" xfId="0" applyFont="1" applyFill="1" applyAlignment="1">
      <alignment horizontal="center" wrapText="1"/>
    </xf>
    <xf numFmtId="0" fontId="16" fillId="4" borderId="30"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protection locked="0"/>
    </xf>
    <xf numFmtId="0" fontId="16" fillId="4" borderId="31" xfId="0" applyFont="1" applyFill="1" applyBorder="1" applyAlignment="1" applyProtection="1">
      <alignment horizontal="center" vertical="center"/>
      <protection locked="0"/>
    </xf>
    <xf numFmtId="0" fontId="16" fillId="4" borderId="32" xfId="0" applyFont="1" applyFill="1" applyBorder="1" applyAlignment="1" applyProtection="1">
      <alignment horizontal="center"/>
      <protection locked="0"/>
    </xf>
    <xf numFmtId="0" fontId="16" fillId="4" borderId="15" xfId="0" applyFont="1" applyFill="1" applyBorder="1" applyAlignment="1" applyProtection="1">
      <alignment horizontal="center"/>
      <protection locked="0"/>
    </xf>
    <xf numFmtId="0" fontId="16" fillId="4" borderId="33" xfId="0" applyFont="1" applyFill="1" applyBorder="1" applyAlignment="1" applyProtection="1">
      <alignment horizontal="center"/>
      <protection locked="0"/>
    </xf>
    <xf numFmtId="0" fontId="16" fillId="4" borderId="7" xfId="0" applyFont="1" applyFill="1" applyBorder="1" applyAlignment="1" applyProtection="1">
      <alignment horizontal="center"/>
      <protection locked="0"/>
    </xf>
    <xf numFmtId="0" fontId="16" fillId="4" borderId="8" xfId="0" applyFont="1" applyFill="1" applyBorder="1" applyAlignment="1" applyProtection="1">
      <alignment horizontal="center"/>
      <protection locked="0"/>
    </xf>
    <xf numFmtId="0" fontId="16" fillId="4" borderId="31" xfId="0" applyFont="1" applyFill="1" applyBorder="1" applyAlignment="1" applyProtection="1">
      <alignment horizontal="center"/>
      <protection locked="0"/>
    </xf>
    <xf numFmtId="0" fontId="16" fillId="0" borderId="18" xfId="0" applyFont="1" applyBorder="1" applyAlignment="1">
      <alignment horizontal="center"/>
    </xf>
    <xf numFmtId="0" fontId="16" fillId="0" borderId="35" xfId="0" applyFont="1" applyBorder="1" applyAlignment="1">
      <alignment horizontal="center"/>
    </xf>
    <xf numFmtId="0" fontId="16" fillId="4" borderId="6" xfId="0" applyFont="1" applyFill="1" applyBorder="1" applyAlignment="1" applyProtection="1">
      <alignment horizontal="right"/>
      <protection locked="0"/>
    </xf>
    <xf numFmtId="0" fontId="16" fillId="0" borderId="36" xfId="0" applyFont="1" applyBorder="1" applyAlignment="1">
      <alignment horizontal="left"/>
    </xf>
    <xf numFmtId="0" fontId="16" fillId="4" borderId="34" xfId="0" applyFont="1" applyFill="1" applyBorder="1" applyAlignment="1" applyProtection="1">
      <alignment horizontal="center"/>
      <protection locked="0"/>
    </xf>
    <xf numFmtId="0" fontId="16" fillId="4" borderId="18" xfId="0" applyFont="1" applyFill="1" applyBorder="1" applyAlignment="1" applyProtection="1">
      <alignment horizontal="center"/>
      <protection locked="0"/>
    </xf>
    <xf numFmtId="0" fontId="16" fillId="4" borderId="35" xfId="0" applyFont="1" applyFill="1" applyBorder="1" applyAlignment="1" applyProtection="1">
      <alignment horizontal="center"/>
      <protection locked="0"/>
    </xf>
    <xf numFmtId="0" fontId="20" fillId="0" borderId="0" xfId="0" applyFont="1" applyFill="1" applyBorder="1" applyAlignment="1" applyProtection="1">
      <alignment horizontal="right"/>
    </xf>
    <xf numFmtId="0" fontId="16" fillId="0" borderId="0" xfId="0" applyFont="1" applyFill="1" applyAlignment="1" applyProtection="1">
      <alignment horizontal="center"/>
      <protection locked="0"/>
    </xf>
    <xf numFmtId="0" fontId="20" fillId="0" borderId="14" xfId="0" applyFont="1" applyFill="1" applyBorder="1" applyAlignment="1" applyProtection="1">
      <alignment horizontal="right"/>
    </xf>
    <xf numFmtId="0" fontId="16" fillId="0" borderId="12" xfId="0" applyFont="1" applyFill="1" applyBorder="1" applyAlignment="1" applyProtection="1">
      <alignment horizontal="center"/>
    </xf>
    <xf numFmtId="171" fontId="20" fillId="0" borderId="14" xfId="0" applyNumberFormat="1" applyFont="1" applyFill="1" applyBorder="1" applyAlignment="1" applyProtection="1">
      <alignment horizontal="center"/>
    </xf>
    <xf numFmtId="0" fontId="16" fillId="0" borderId="40" xfId="0" applyFont="1" applyFill="1" applyBorder="1" applyAlignment="1" applyProtection="1">
      <alignment horizontal="center"/>
    </xf>
    <xf numFmtId="0" fontId="16" fillId="0" borderId="46" xfId="0" applyFont="1" applyFill="1" applyBorder="1" applyAlignment="1" applyProtection="1">
      <alignment horizontal="center"/>
    </xf>
    <xf numFmtId="0" fontId="16" fillId="0" borderId="6" xfId="0" applyFont="1" applyFill="1" applyBorder="1" applyAlignment="1" applyProtection="1">
      <alignment horizontal="right"/>
    </xf>
    <xf numFmtId="0" fontId="16" fillId="0" borderId="28" xfId="0" applyFont="1" applyFill="1" applyBorder="1" applyAlignment="1" applyProtection="1">
      <alignment horizontal="right"/>
    </xf>
    <xf numFmtId="0" fontId="16" fillId="0" borderId="12" xfId="0" applyFont="1" applyFill="1" applyBorder="1" applyAlignment="1" applyProtection="1">
      <alignment horizontal="right"/>
    </xf>
    <xf numFmtId="0" fontId="16" fillId="0" borderId="27" xfId="0" applyFont="1" applyFill="1" applyBorder="1" applyAlignment="1" applyProtection="1">
      <alignment horizontal="right"/>
    </xf>
    <xf numFmtId="171" fontId="16" fillId="0" borderId="7" xfId="0" applyNumberFormat="1" applyFont="1" applyFill="1" applyBorder="1" applyAlignment="1" applyProtection="1">
      <alignment horizontal="center"/>
    </xf>
    <xf numFmtId="171" fontId="16" fillId="0" borderId="8" xfId="0" applyNumberFormat="1" applyFont="1" applyFill="1" applyBorder="1" applyAlignment="1" applyProtection="1">
      <alignment horizontal="center"/>
    </xf>
    <xf numFmtId="171" fontId="16" fillId="0" borderId="9" xfId="0" applyNumberFormat="1" applyFont="1" applyFill="1" applyBorder="1" applyAlignment="1" applyProtection="1">
      <alignment horizontal="center"/>
    </xf>
    <xf numFmtId="171" fontId="20" fillId="0" borderId="0" xfId="0" applyNumberFormat="1" applyFont="1" applyFill="1" applyBorder="1" applyAlignment="1" applyProtection="1">
      <alignment horizontal="center"/>
    </xf>
    <xf numFmtId="0" fontId="16" fillId="0" borderId="45" xfId="0" applyFont="1" applyFill="1" applyBorder="1" applyAlignment="1" applyProtection="1">
      <alignment horizontal="left"/>
    </xf>
    <xf numFmtId="0" fontId="16" fillId="0" borderId="40" xfId="0" applyFont="1" applyFill="1" applyBorder="1" applyAlignment="1" applyProtection="1">
      <alignment horizontal="left"/>
    </xf>
    <xf numFmtId="0" fontId="16" fillId="0" borderId="34" xfId="0" applyFont="1" applyFill="1" applyBorder="1" applyAlignment="1" applyProtection="1">
      <alignment horizontal="left"/>
    </xf>
    <xf numFmtId="0" fontId="16" fillId="0" borderId="18" xfId="0" applyFont="1" applyFill="1" applyBorder="1" applyAlignment="1" applyProtection="1">
      <alignment horizontal="left"/>
    </xf>
    <xf numFmtId="0" fontId="16" fillId="0" borderId="50" xfId="0" applyFont="1" applyFill="1" applyBorder="1" applyAlignment="1" applyProtection="1">
      <alignment horizontal="left"/>
    </xf>
    <xf numFmtId="0" fontId="16" fillId="0" borderId="6" xfId="0" applyFont="1" applyFill="1" applyBorder="1" applyAlignment="1" applyProtection="1">
      <alignment horizont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horizontal="left" vertical="center"/>
    </xf>
    <xf numFmtId="0" fontId="24" fillId="0" borderId="50" xfId="0" applyFont="1" applyFill="1" applyBorder="1" applyAlignment="1" applyProtection="1">
      <alignment horizontal="left" vertical="center"/>
    </xf>
    <xf numFmtId="0" fontId="20" fillId="0" borderId="34" xfId="0" applyNumberFormat="1" applyFont="1" applyFill="1" applyBorder="1" applyAlignment="1" applyProtection="1">
      <alignment horizontal="center" vertical="center"/>
    </xf>
    <xf numFmtId="0" fontId="20" fillId="0" borderId="18" xfId="0" applyNumberFormat="1" applyFont="1" applyFill="1" applyBorder="1" applyAlignment="1" applyProtection="1">
      <alignment horizontal="center" vertical="center"/>
    </xf>
    <xf numFmtId="0" fontId="20" fillId="0" borderId="35" xfId="0" applyNumberFormat="1"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4" fillId="0" borderId="11" xfId="0" applyFont="1" applyFill="1" applyBorder="1" applyAlignment="1" applyProtection="1">
      <alignment horizontal="left" vertical="center"/>
    </xf>
    <xf numFmtId="0" fontId="24" fillId="0" borderId="12" xfId="0" applyFont="1" applyFill="1" applyBorder="1" applyAlignment="1" applyProtection="1">
      <alignment horizontal="left" vertical="center"/>
    </xf>
    <xf numFmtId="0" fontId="20" fillId="0" borderId="43" xfId="0" applyFont="1" applyFill="1" applyBorder="1" applyAlignment="1" applyProtection="1">
      <alignment horizontal="right" vertical="center"/>
    </xf>
    <xf numFmtId="0" fontId="20" fillId="0" borderId="10" xfId="0" applyFont="1" applyFill="1" applyBorder="1" applyAlignment="1" applyProtection="1">
      <alignment horizontal="right" vertical="center"/>
    </xf>
    <xf numFmtId="0" fontId="20" fillId="0" borderId="10" xfId="0" applyFont="1" applyFill="1" applyBorder="1" applyAlignment="1" applyProtection="1">
      <alignment horizontal="left" vertical="center"/>
    </xf>
    <xf numFmtId="0" fontId="20" fillId="0" borderId="13" xfId="0" applyFont="1" applyFill="1" applyBorder="1" applyAlignment="1" applyProtection="1">
      <alignment horizontal="left" vertical="center"/>
    </xf>
    <xf numFmtId="0" fontId="24" fillId="0" borderId="36" xfId="0" applyFont="1" applyFill="1" applyBorder="1" applyAlignment="1" applyProtection="1">
      <alignment horizontal="left" vertical="center"/>
    </xf>
    <xf numFmtId="0" fontId="24" fillId="0" borderId="6" xfId="0" applyFont="1" applyFill="1" applyBorder="1" applyAlignment="1" applyProtection="1">
      <alignment horizontal="left" vertical="center"/>
    </xf>
    <xf numFmtId="0" fontId="16" fillId="0" borderId="6"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24" fillId="0" borderId="20" xfId="0" applyFont="1" applyFill="1" applyBorder="1" applyAlignment="1" applyProtection="1">
      <alignment horizontal="right" vertical="center"/>
    </xf>
    <xf numFmtId="0" fontId="24" fillId="0" borderId="10" xfId="0" applyFont="1" applyFill="1" applyBorder="1" applyAlignment="1" applyProtection="1">
      <alignment horizontal="right" vertical="center"/>
    </xf>
    <xf numFmtId="0" fontId="24" fillId="0" borderId="44" xfId="0" applyFont="1" applyFill="1" applyBorder="1" applyAlignment="1" applyProtection="1">
      <alignment horizontal="right" vertical="center"/>
    </xf>
    <xf numFmtId="0" fontId="16" fillId="0" borderId="12"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25" fillId="0" borderId="52" xfId="0" applyFont="1" applyFill="1" applyBorder="1" applyAlignment="1" applyProtection="1">
      <alignment horizontal="left" vertical="top" wrapText="1"/>
    </xf>
    <xf numFmtId="0" fontId="25" fillId="0" borderId="53" xfId="0" applyFont="1" applyFill="1" applyBorder="1" applyAlignment="1" applyProtection="1">
      <alignment horizontal="left" vertical="top" wrapText="1"/>
    </xf>
    <xf numFmtId="0" fontId="25" fillId="0" borderId="54" xfId="0" applyFont="1" applyFill="1" applyBorder="1" applyAlignment="1" applyProtection="1">
      <alignment horizontal="left" vertical="top" wrapText="1"/>
    </xf>
    <xf numFmtId="0" fontId="20" fillId="0" borderId="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16" fillId="0" borderId="0" xfId="0" applyFont="1" applyFill="1" applyAlignment="1" applyProtection="1">
      <alignment horizontal="left" vertical="center"/>
    </xf>
    <xf numFmtId="0" fontId="16" fillId="0" borderId="0" xfId="0" applyFont="1" applyFill="1" applyAlignment="1" applyProtection="1">
      <alignment horizontal="right" vertical="center"/>
    </xf>
    <xf numFmtId="0" fontId="24" fillId="0" borderId="45" xfId="0" applyFont="1" applyFill="1" applyBorder="1" applyAlignment="1" applyProtection="1">
      <alignment horizontal="left" vertical="center"/>
    </xf>
    <xf numFmtId="0" fontId="24" fillId="0" borderId="40" xfId="0" applyFont="1" applyFill="1" applyBorder="1" applyAlignment="1" applyProtection="1">
      <alignment horizontal="left" vertical="center"/>
    </xf>
    <xf numFmtId="0" fontId="20" fillId="0" borderId="40" xfId="0" applyFont="1" applyFill="1" applyBorder="1" applyAlignment="1" applyProtection="1">
      <alignment horizontal="center" vertical="center"/>
    </xf>
    <xf numFmtId="0" fontId="20" fillId="0" borderId="46" xfId="0" applyFont="1" applyFill="1" applyBorder="1" applyAlignment="1" applyProtection="1">
      <alignment horizontal="center" vertical="center"/>
    </xf>
    <xf numFmtId="0" fontId="24" fillId="0" borderId="45"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3" fillId="0" borderId="46" xfId="0"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9" fillId="4" borderId="0" xfId="0" applyFont="1" applyFill="1" applyAlignment="1" applyProtection="1">
      <alignment horizontal="center" vertical="center" wrapText="1"/>
    </xf>
    <xf numFmtId="0" fontId="29" fillId="4" borderId="0" xfId="0" applyFont="1" applyFill="1" applyAlignment="1" applyProtection="1">
      <alignment horizontal="center" vertical="center"/>
    </xf>
    <xf numFmtId="0" fontId="23" fillId="5" borderId="0" xfId="0" applyFont="1" applyFill="1" applyAlignment="1" applyProtection="1">
      <alignment horizontal="center"/>
    </xf>
    <xf numFmtId="0" fontId="16" fillId="0" borderId="15" xfId="0" applyFont="1" applyFill="1" applyBorder="1" applyAlignment="1" applyProtection="1">
      <alignment horizontal="left" vertical="center"/>
    </xf>
    <xf numFmtId="0" fontId="19" fillId="0" borderId="34"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31"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31"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16" fillId="0" borderId="10" xfId="0" applyFont="1" applyFill="1" applyBorder="1" applyAlignment="1" applyProtection="1">
      <alignment horizontal="right" vertical="center"/>
    </xf>
    <xf numFmtId="1" fontId="20" fillId="0" borderId="10" xfId="0" applyNumberFormat="1" applyFont="1" applyFill="1" applyBorder="1" applyAlignment="1" applyProtection="1">
      <alignment horizontal="left" vertical="center"/>
    </xf>
    <xf numFmtId="0" fontId="24" fillId="0" borderId="30" xfId="0" applyFont="1" applyFill="1" applyBorder="1" applyAlignment="1" applyProtection="1">
      <alignment horizontal="right" vertical="center"/>
    </xf>
    <xf numFmtId="0" fontId="24" fillId="0" borderId="8" xfId="0" applyFont="1" applyFill="1" applyBorder="1" applyAlignment="1" applyProtection="1">
      <alignment horizontal="right" vertical="center"/>
    </xf>
    <xf numFmtId="0" fontId="24" fillId="0" borderId="9" xfId="0" applyFont="1" applyFill="1" applyBorder="1" applyAlignment="1" applyProtection="1">
      <alignment horizontal="right" vertical="center"/>
    </xf>
    <xf numFmtId="0" fontId="16" fillId="0" borderId="0" xfId="0" applyFont="1" applyFill="1" applyAlignment="1" applyProtection="1">
      <alignment horizontal="center"/>
    </xf>
    <xf numFmtId="0" fontId="16" fillId="0" borderId="36" xfId="0" applyFont="1" applyFill="1" applyBorder="1" applyAlignment="1" applyProtection="1">
      <alignment horizontal="left"/>
    </xf>
    <xf numFmtId="0" fontId="16" fillId="0" borderId="6" xfId="0" applyFont="1" applyFill="1" applyBorder="1" applyAlignment="1" applyProtection="1">
      <alignment horizontal="left"/>
    </xf>
    <xf numFmtId="0" fontId="16" fillId="0" borderId="7" xfId="0" applyFont="1" applyFill="1" applyBorder="1" applyAlignment="1" applyProtection="1">
      <alignment horizontal="center"/>
    </xf>
    <xf numFmtId="0" fontId="16" fillId="0" borderId="8" xfId="0" applyFont="1" applyFill="1" applyBorder="1" applyAlignment="1" applyProtection="1">
      <alignment horizontal="center"/>
    </xf>
    <xf numFmtId="0" fontId="16" fillId="0" borderId="9" xfId="0" applyFont="1" applyFill="1" applyBorder="1" applyAlignment="1" applyProtection="1">
      <alignment horizontal="center"/>
    </xf>
    <xf numFmtId="0" fontId="16" fillId="0" borderId="43" xfId="0" applyFont="1" applyFill="1" applyBorder="1" applyAlignment="1" applyProtection="1">
      <alignment horizontal="right" vertical="center"/>
    </xf>
    <xf numFmtId="0" fontId="16" fillId="0" borderId="0" xfId="0" applyFont="1" applyFill="1" applyProtection="1"/>
    <xf numFmtId="0" fontId="16" fillId="0" borderId="0" xfId="0" applyFont="1" applyFill="1" applyAlignment="1" applyProtection="1">
      <alignment horizontal="right"/>
    </xf>
    <xf numFmtId="0" fontId="16" fillId="0" borderId="0" xfId="0" applyFont="1" applyFill="1" applyAlignment="1" applyProtection="1">
      <alignment horizontal="left"/>
    </xf>
    <xf numFmtId="9" fontId="16" fillId="0" borderId="0" xfId="0" applyNumberFormat="1" applyFont="1" applyFill="1" applyAlignment="1" applyProtection="1">
      <alignment horizontal="center"/>
    </xf>
    <xf numFmtId="0" fontId="16" fillId="0" borderId="43" xfId="0" applyFont="1" applyFill="1" applyBorder="1" applyAlignment="1" applyProtection="1">
      <alignment horizontal="center"/>
    </xf>
    <xf numFmtId="0" fontId="16" fillId="0" borderId="10" xfId="0" applyFont="1" applyFill="1" applyBorder="1" applyAlignment="1" applyProtection="1">
      <alignment horizontal="center"/>
    </xf>
    <xf numFmtId="0" fontId="16" fillId="0" borderId="44" xfId="0" applyFont="1" applyFill="1" applyBorder="1" applyAlignment="1" applyProtection="1">
      <alignment horizontal="center"/>
    </xf>
    <xf numFmtId="0" fontId="16" fillId="0" borderId="11" xfId="0" applyFont="1" applyFill="1" applyBorder="1" applyAlignment="1" applyProtection="1">
      <alignment horizontal="left"/>
    </xf>
    <xf numFmtId="0" fontId="16" fillId="0" borderId="12" xfId="0" applyFont="1" applyFill="1" applyBorder="1" applyAlignment="1" applyProtection="1">
      <alignment horizontal="left"/>
    </xf>
    <xf numFmtId="171" fontId="16" fillId="0" borderId="0" xfId="0" applyNumberFormat="1" applyFont="1" applyFill="1" applyAlignment="1" applyProtection="1">
      <alignment horizontal="center"/>
    </xf>
    <xf numFmtId="171" fontId="20" fillId="0" borderId="0" xfId="0" applyNumberFormat="1" applyFont="1" applyFill="1" applyAlignment="1" applyProtection="1">
      <alignment horizontal="center"/>
    </xf>
    <xf numFmtId="0" fontId="16" fillId="3" borderId="7" xfId="0" applyFont="1" applyFill="1" applyBorder="1" applyAlignment="1" applyProtection="1">
      <alignment horizontal="center"/>
    </xf>
    <xf numFmtId="0" fontId="16" fillId="0" borderId="8" xfId="0" applyFont="1" applyBorder="1" applyAlignment="1" applyProtection="1">
      <alignment horizontal="center"/>
    </xf>
    <xf numFmtId="0" fontId="16" fillId="3" borderId="7" xfId="0" applyFont="1" applyFill="1" applyBorder="1" applyAlignment="1" applyProtection="1">
      <alignment horizontal="left"/>
    </xf>
    <xf numFmtId="0" fontId="16" fillId="3" borderId="8" xfId="0" applyFont="1" applyFill="1" applyBorder="1" applyAlignment="1" applyProtection="1">
      <alignment horizontal="left"/>
    </xf>
    <xf numFmtId="0" fontId="16" fillId="3" borderId="9" xfId="0" applyFont="1" applyFill="1" applyBorder="1" applyAlignment="1" applyProtection="1">
      <alignment horizontal="left"/>
    </xf>
    <xf numFmtId="0" fontId="16" fillId="0" borderId="7" xfId="0" applyFont="1" applyBorder="1" applyAlignment="1" applyProtection="1"/>
    <xf numFmtId="0" fontId="16" fillId="0" borderId="9" xfId="0" applyFont="1" applyBorder="1" applyAlignment="1" applyProtection="1"/>
    <xf numFmtId="0" fontId="16" fillId="4" borderId="7" xfId="0" applyFont="1" applyFill="1" applyBorder="1" applyAlignment="1" applyProtection="1"/>
    <xf numFmtId="0" fontId="16" fillId="4" borderId="9" xfId="0" applyFont="1" applyFill="1" applyBorder="1" applyAlignment="1" applyProtection="1"/>
    <xf numFmtId="0" fontId="16" fillId="15" borderId="0" xfId="1" applyNumberFormat="1" applyFont="1" applyFill="1" applyAlignment="1" applyProtection="1">
      <alignment horizontal="center" wrapText="1"/>
    </xf>
    <xf numFmtId="0" fontId="16" fillId="0" borderId="0" xfId="0" applyFont="1" applyProtection="1"/>
    <xf numFmtId="166" fontId="16" fillId="0" borderId="7" xfId="0" applyNumberFormat="1" applyFont="1" applyBorder="1" applyAlignment="1" applyProtection="1">
      <alignment horizontal="center"/>
    </xf>
    <xf numFmtId="166" fontId="16" fillId="0" borderId="9" xfId="0" applyNumberFormat="1" applyFont="1" applyBorder="1" applyAlignment="1" applyProtection="1">
      <alignment horizontal="center"/>
    </xf>
    <xf numFmtId="0" fontId="16" fillId="3" borderId="8" xfId="0" applyFont="1" applyFill="1" applyBorder="1" applyAlignment="1" applyProtection="1">
      <alignment horizontal="center"/>
    </xf>
    <xf numFmtId="0" fontId="16" fillId="0" borderId="9" xfId="0" applyFont="1" applyBorder="1" applyAlignment="1" applyProtection="1">
      <alignment horizontal="center"/>
    </xf>
    <xf numFmtId="166" fontId="0" fillId="0" borderId="0" xfId="0" applyNumberFormat="1" applyAlignment="1" applyProtection="1">
      <alignment horizontal="center"/>
    </xf>
    <xf numFmtId="0" fontId="0" fillId="0" borderId="0" xfId="0" applyAlignment="1" applyProtection="1">
      <alignment horizontal="left"/>
    </xf>
    <xf numFmtId="170" fontId="0" fillId="0" borderId="0" xfId="1" applyNumberFormat="1" applyFont="1" applyAlignment="1" applyProtection="1">
      <alignment horizontal="center"/>
    </xf>
    <xf numFmtId="0" fontId="0" fillId="0" borderId="0" xfId="0" applyAlignment="1" applyProtection="1">
      <alignment horizontal="center"/>
    </xf>
    <xf numFmtId="166" fontId="0" fillId="0" borderId="14" xfId="0" applyNumberFormat="1" applyBorder="1" applyAlignment="1" applyProtection="1">
      <alignment horizontal="right"/>
    </xf>
    <xf numFmtId="166" fontId="0" fillId="0" borderId="47" xfId="0" applyNumberFormat="1" applyBorder="1" applyAlignment="1" applyProtection="1">
      <alignment horizontal="center"/>
    </xf>
    <xf numFmtId="166" fontId="0" fillId="0" borderId="48" xfId="0" applyNumberFormat="1" applyBorder="1" applyAlignment="1" applyProtection="1">
      <alignment horizontal="center"/>
    </xf>
    <xf numFmtId="170" fontId="0" fillId="0" borderId="7" xfId="1" applyNumberFormat="1" applyFont="1" applyBorder="1" applyAlignment="1" applyProtection="1">
      <alignment horizontal="left"/>
    </xf>
    <xf numFmtId="170" fontId="0" fillId="0" borderId="8" xfId="1" applyNumberFormat="1" applyFont="1" applyBorder="1" applyAlignment="1" applyProtection="1">
      <alignment horizontal="left"/>
    </xf>
    <xf numFmtId="170" fontId="0" fillId="0" borderId="9" xfId="1" applyNumberFormat="1" applyFont="1" applyBorder="1" applyAlignment="1" applyProtection="1">
      <alignment horizontal="left"/>
    </xf>
    <xf numFmtId="0" fontId="2" fillId="0" borderId="0" xfId="0" applyFont="1" applyAlignment="1" applyProtection="1">
      <alignment horizontal="left"/>
    </xf>
    <xf numFmtId="166" fontId="3" fillId="0" borderId="0" xfId="0" applyNumberFormat="1" applyFont="1" applyBorder="1" applyAlignment="1" applyProtection="1">
      <alignment horizontal="center"/>
    </xf>
    <xf numFmtId="4" fontId="0" fillId="0" borderId="0" xfId="0" applyNumberFormat="1" applyAlignment="1" applyProtection="1">
      <alignment horizontal="center"/>
    </xf>
    <xf numFmtId="0" fontId="2" fillId="5" borderId="0" xfId="0" applyFont="1" applyFill="1" applyAlignment="1" applyProtection="1">
      <alignment horizontal="center"/>
    </xf>
    <xf numFmtId="0" fontId="0" fillId="0" borderId="0" xfId="0" applyAlignment="1">
      <alignment horizontal="center"/>
    </xf>
  </cellXfs>
  <cellStyles count="8">
    <cellStyle name="Comma" xfId="1" builtinId="3"/>
    <cellStyle name="Currency" xfId="2" builtinId="4"/>
    <cellStyle name="Hyperlink" xfId="3" builtinId="8"/>
    <cellStyle name="Normal" xfId="0" builtinId="0"/>
    <cellStyle name="Normal_Clubs" xfId="4"/>
    <cellStyle name="Normal_Clubs_1" xfId="5"/>
    <cellStyle name="Normal_Lookups" xfId="6"/>
    <cellStyle name="Percent" xfId="7" builtinId="5"/>
  </cellStyles>
  <dxfs count="1">
    <dxf>
      <font>
        <condense val="0"/>
        <extend val="0"/>
        <color auto="1"/>
      </font>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rPr lang="en-GB"/>
              <a:t>Profit/(Loss</a:t>
            </a:r>
          </a:p>
        </c:rich>
      </c:tx>
      <c:layout>
        <c:manualLayout>
          <c:xMode val="edge"/>
          <c:yMode val="edge"/>
          <c:x val="0.40350889472149332"/>
          <c:y val="4.5226130653266333E-2"/>
        </c:manualLayout>
      </c:layout>
      <c:spPr>
        <a:noFill/>
        <a:ln w="25400">
          <a:noFill/>
        </a:ln>
      </c:spPr>
    </c:title>
    <c:plotArea>
      <c:layout>
        <c:manualLayout>
          <c:layoutTarget val="inner"/>
          <c:xMode val="edge"/>
          <c:yMode val="edge"/>
          <c:x val="0.18421105232048487"/>
          <c:y val="0.15577927670401986"/>
          <c:w val="0.75146413406927903"/>
          <c:h val="0.63819252069066201"/>
        </c:manualLayout>
      </c:layout>
      <c:scatterChart>
        <c:scatterStyle val="smoothMarker"/>
        <c:ser>
          <c:idx val="0"/>
          <c:order val="0"/>
          <c:tx>
            <c:strRef>
              <c:f>'Tour Application Form'!$R$7:$AM$7</c:f>
              <c:strCache>
                <c:ptCount val="1"/>
                <c:pt idx="0">
                  <c:v>RSM De La Beche</c:v>
                </c:pt>
              </c:strCache>
            </c:strRef>
          </c:tx>
          <c:spPr>
            <a:ln w="12700">
              <a:solidFill>
                <a:srgbClr val="000080"/>
              </a:solidFill>
              <a:prstDash val="solid"/>
            </a:ln>
          </c:spPr>
          <c:marker>
            <c:symbol val="none"/>
          </c:marker>
          <c:xVal>
            <c:numRef>
              <c:f>'Tour Budget'!$C$76:$C$86</c:f>
              <c:numCache>
                <c:formatCode>General</c:formatCode>
                <c:ptCount val="11"/>
                <c:pt idx="0">
                  <c:v>15</c:v>
                </c:pt>
                <c:pt idx="1">
                  <c:v>18</c:v>
                </c:pt>
                <c:pt idx="2">
                  <c:v>21</c:v>
                </c:pt>
                <c:pt idx="3">
                  <c:v>24</c:v>
                </c:pt>
                <c:pt idx="4">
                  <c:v>27</c:v>
                </c:pt>
                <c:pt idx="5">
                  <c:v>30</c:v>
                </c:pt>
                <c:pt idx="6">
                  <c:v>33</c:v>
                </c:pt>
                <c:pt idx="7">
                  <c:v>36</c:v>
                </c:pt>
                <c:pt idx="8">
                  <c:v>39</c:v>
                </c:pt>
                <c:pt idx="9">
                  <c:v>42</c:v>
                </c:pt>
                <c:pt idx="10">
                  <c:v>45</c:v>
                </c:pt>
              </c:numCache>
            </c:numRef>
          </c:xVal>
          <c:yVal>
            <c:numRef>
              <c:f>'Tour Budget'!$F$76:$F$86</c:f>
              <c:numCache>
                <c:formatCode>"£"#,##0.00;[Red]\-"£"#,##0.00</c:formatCode>
                <c:ptCount val="11"/>
                <c:pt idx="0">
                  <c:v>-848.51063829787245</c:v>
                </c:pt>
                <c:pt idx="1">
                  <c:v>-695.31914893617034</c:v>
                </c:pt>
                <c:pt idx="2">
                  <c:v>-542.12765957446823</c:v>
                </c:pt>
                <c:pt idx="3">
                  <c:v>-388.93617021276623</c:v>
                </c:pt>
                <c:pt idx="4">
                  <c:v>-235.744680851064</c:v>
                </c:pt>
                <c:pt idx="5">
                  <c:v>-82.55319148936178</c:v>
                </c:pt>
                <c:pt idx="6">
                  <c:v>70.638297872340218</c:v>
                </c:pt>
                <c:pt idx="7">
                  <c:v>223.82978723404244</c:v>
                </c:pt>
                <c:pt idx="8">
                  <c:v>377.02127659574444</c:v>
                </c:pt>
                <c:pt idx="9">
                  <c:v>530.21276595744666</c:v>
                </c:pt>
                <c:pt idx="10">
                  <c:v>683.40425531914889</c:v>
                </c:pt>
              </c:numCache>
            </c:numRef>
          </c:yVal>
          <c:smooth val="1"/>
        </c:ser>
        <c:ser>
          <c:idx val="1"/>
          <c:order val="1"/>
          <c:tx>
            <c:v>Est Attn</c:v>
          </c:tx>
          <c:spPr>
            <a:ln w="12700">
              <a:solidFill>
                <a:srgbClr val="FF00FF"/>
              </a:solidFill>
              <a:prstDash val="solid"/>
            </a:ln>
          </c:spPr>
          <c:marker>
            <c:symbol val="none"/>
          </c:marker>
          <c:xVal>
            <c:numRef>
              <c:f>'Tour Budget'!$I$86:$I$97</c:f>
              <c:numCache>
                <c:formatCode>"£"#,##0.00;[Red]\-"£"#,##0.00</c:formatCode>
                <c:ptCount val="12"/>
              </c:numCache>
            </c:numRef>
          </c:xVal>
          <c:yVal>
            <c:numRef>
              <c:f>'Tour Budget'!$J$86:$J$97</c:f>
              <c:numCache>
                <c:formatCode>"£"#,##0.00;[Red]\-"£"#,##0.00</c:formatCode>
                <c:ptCount val="12"/>
              </c:numCache>
            </c:numRef>
          </c:yVal>
          <c:smooth val="1"/>
        </c:ser>
        <c:axId val="133801472"/>
        <c:axId val="268260480"/>
      </c:scatterChart>
      <c:valAx>
        <c:axId val="133801472"/>
        <c:scaling>
          <c:orientation val="minMax"/>
        </c:scaling>
        <c:axPos val="b"/>
        <c:title>
          <c:tx>
            <c:rich>
              <a:bodyPr/>
              <a:lstStyle/>
              <a:p>
                <a:pPr>
                  <a:defRPr sz="800" b="1" i="0" u="none" strike="noStrike" baseline="0">
                    <a:solidFill>
                      <a:srgbClr val="000000"/>
                    </a:solidFill>
                    <a:latin typeface="Arial"/>
                    <a:ea typeface="Arial"/>
                    <a:cs typeface="Arial"/>
                  </a:defRPr>
                </a:pPr>
                <a:r>
                  <a:rPr lang="en-GB"/>
                  <a:t>Attendence</a:t>
                </a:r>
              </a:p>
            </c:rich>
          </c:tx>
          <c:layout>
            <c:manualLayout>
              <c:xMode val="edge"/>
              <c:yMode val="edge"/>
              <c:x val="0.45614144065325163"/>
              <c:y val="0.87437396958545999"/>
            </c:manualLayout>
          </c:layout>
          <c:spPr>
            <a:noFill/>
            <a:ln w="25400">
              <a:noFill/>
            </a:ln>
          </c:spPr>
        </c:title>
        <c:numFmt formatCode="General" sourceLinked="1"/>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68260480"/>
        <c:crosses val="autoZero"/>
        <c:crossBetween val="midCat"/>
      </c:valAx>
      <c:valAx>
        <c:axId val="268260480"/>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GB"/>
                  <a:t>Profit / (Loss)</a:t>
                </a:r>
              </a:p>
            </c:rich>
          </c:tx>
          <c:layout>
            <c:manualLayout>
              <c:xMode val="edge"/>
              <c:yMode val="edge"/>
              <c:x val="2.6315835520559969E-2"/>
              <c:y val="0.27638243711998361"/>
            </c:manualLayout>
          </c:layout>
          <c:spPr>
            <a:noFill/>
            <a:ln w="25400">
              <a:noFill/>
            </a:ln>
          </c:spPr>
        </c:title>
        <c:numFmt formatCode="&quot;£&quot;#,##0.00;[Red]\-&quot;£&quot;#,##0.00" sourceLinked="1"/>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33801472"/>
        <c:crosses val="autoZero"/>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800" b="1" i="0" u="none" strike="noStrike" baseline="0">
                <a:solidFill>
                  <a:srgbClr val="000000"/>
                </a:solidFill>
                <a:latin typeface="Arial"/>
                <a:ea typeface="Arial"/>
                <a:cs typeface="Arial"/>
              </a:defRPr>
            </a:pPr>
            <a:r>
              <a:t>Profit/(Loss) - This graph takes VAT sensitivity into account</a:t>
            </a:r>
          </a:p>
        </c:rich>
      </c:tx>
      <c:layout>
        <c:manualLayout>
          <c:xMode val="edge"/>
          <c:yMode val="edge"/>
          <c:x val="0.1515788452521464"/>
          <c:y val="3.7931034482758655E-2"/>
        </c:manualLayout>
      </c:layout>
      <c:spPr>
        <a:noFill/>
        <a:ln w="25400">
          <a:noFill/>
        </a:ln>
      </c:spPr>
    </c:title>
    <c:plotArea>
      <c:layout>
        <c:manualLayout>
          <c:layoutTarget val="inner"/>
          <c:xMode val="edge"/>
          <c:yMode val="edge"/>
          <c:x val="0.12421065399943873"/>
          <c:y val="0.18275862068965518"/>
          <c:w val="0.83368506752165661"/>
          <c:h val="0.64482758620689706"/>
        </c:manualLayout>
      </c:layout>
      <c:scatterChart>
        <c:scatterStyle val="smoothMarker"/>
        <c:ser>
          <c:idx val="0"/>
          <c:order val="0"/>
          <c:tx>
            <c:strRef>
              <c:f>'Tour Application Form'!$R$7:$AM$7</c:f>
              <c:strCache>
                <c:ptCount val="1"/>
                <c:pt idx="0">
                  <c:v>RSM De La Beche</c:v>
                </c:pt>
              </c:strCache>
            </c:strRef>
          </c:tx>
          <c:spPr>
            <a:ln w="12700">
              <a:solidFill>
                <a:srgbClr val="000080"/>
              </a:solidFill>
              <a:prstDash val="solid"/>
            </a:ln>
          </c:spPr>
          <c:marker>
            <c:symbol val="none"/>
          </c:marker>
          <c:xVal>
            <c:numRef>
              <c:f>'Tour Budget'!$C$76:$C$86</c:f>
              <c:numCache>
                <c:formatCode>General</c:formatCode>
                <c:ptCount val="11"/>
                <c:pt idx="0">
                  <c:v>15</c:v>
                </c:pt>
                <c:pt idx="1">
                  <c:v>18</c:v>
                </c:pt>
                <c:pt idx="2">
                  <c:v>21</c:v>
                </c:pt>
                <c:pt idx="3">
                  <c:v>24</c:v>
                </c:pt>
                <c:pt idx="4">
                  <c:v>27</c:v>
                </c:pt>
                <c:pt idx="5">
                  <c:v>30</c:v>
                </c:pt>
                <c:pt idx="6">
                  <c:v>33</c:v>
                </c:pt>
                <c:pt idx="7">
                  <c:v>36</c:v>
                </c:pt>
                <c:pt idx="8">
                  <c:v>39</c:v>
                </c:pt>
                <c:pt idx="9">
                  <c:v>42</c:v>
                </c:pt>
                <c:pt idx="10">
                  <c:v>45</c:v>
                </c:pt>
              </c:numCache>
            </c:numRef>
          </c:xVal>
          <c:yVal>
            <c:numRef>
              <c:f>'Tour Budget'!$F$76:$F$86</c:f>
              <c:numCache>
                <c:formatCode>"£"#,##0.00;[Red]\-"£"#,##0.00</c:formatCode>
                <c:ptCount val="11"/>
                <c:pt idx="0">
                  <c:v>-848.51063829787245</c:v>
                </c:pt>
                <c:pt idx="1">
                  <c:v>-695.31914893617034</c:v>
                </c:pt>
                <c:pt idx="2">
                  <c:v>-542.12765957446823</c:v>
                </c:pt>
                <c:pt idx="3">
                  <c:v>-388.93617021276623</c:v>
                </c:pt>
                <c:pt idx="4">
                  <c:v>-235.744680851064</c:v>
                </c:pt>
                <c:pt idx="5">
                  <c:v>-82.55319148936178</c:v>
                </c:pt>
                <c:pt idx="6">
                  <c:v>70.638297872340218</c:v>
                </c:pt>
                <c:pt idx="7">
                  <c:v>223.82978723404244</c:v>
                </c:pt>
                <c:pt idx="8">
                  <c:v>377.02127659574444</c:v>
                </c:pt>
                <c:pt idx="9">
                  <c:v>530.21276595744666</c:v>
                </c:pt>
                <c:pt idx="10">
                  <c:v>683.40425531914889</c:v>
                </c:pt>
              </c:numCache>
            </c:numRef>
          </c:yVal>
          <c:smooth val="1"/>
        </c:ser>
        <c:ser>
          <c:idx val="1"/>
          <c:order val="1"/>
          <c:tx>
            <c:v>Est Attn</c:v>
          </c:tx>
          <c:spPr>
            <a:ln w="12700">
              <a:solidFill>
                <a:srgbClr val="FF00FF"/>
              </a:solidFill>
              <a:prstDash val="solid"/>
            </a:ln>
          </c:spPr>
          <c:marker>
            <c:symbol val="none"/>
          </c:marker>
          <c:xVal>
            <c:numRef>
              <c:f>'Tour Budget'!$I$86:$I$97</c:f>
              <c:numCache>
                <c:formatCode>"£"#,##0.00;[Red]\-"£"#,##0.00</c:formatCode>
                <c:ptCount val="12"/>
              </c:numCache>
            </c:numRef>
          </c:xVal>
          <c:yVal>
            <c:numRef>
              <c:f>'Tour Budget'!$J$86:$J$97</c:f>
              <c:numCache>
                <c:formatCode>"£"#,##0.00;[Red]\-"£"#,##0.00</c:formatCode>
                <c:ptCount val="12"/>
              </c:numCache>
            </c:numRef>
          </c:yVal>
          <c:smooth val="1"/>
        </c:ser>
        <c:axId val="277428480"/>
        <c:axId val="277434752"/>
      </c:scatterChart>
      <c:valAx>
        <c:axId val="277428480"/>
        <c:scaling>
          <c:orientation val="minMax"/>
        </c:scaling>
        <c:axPos val="b"/>
        <c:title>
          <c:tx>
            <c:rich>
              <a:bodyPr/>
              <a:lstStyle/>
              <a:p>
                <a:pPr>
                  <a:defRPr sz="550" b="1" i="0" u="none" strike="noStrike" baseline="0">
                    <a:solidFill>
                      <a:srgbClr val="000000"/>
                    </a:solidFill>
                    <a:latin typeface="Arial"/>
                    <a:ea typeface="Arial"/>
                    <a:cs typeface="Arial"/>
                  </a:defRPr>
                </a:pPr>
                <a:r>
                  <a:t>Attendence</a:t>
                </a:r>
              </a:p>
            </c:rich>
          </c:tx>
          <c:layout>
            <c:manualLayout>
              <c:xMode val="edge"/>
              <c:yMode val="edge"/>
              <c:x val="0.48421090074213008"/>
              <c:y val="0.89310344827586208"/>
            </c:manualLayout>
          </c:layout>
          <c:spPr>
            <a:noFill/>
            <a:ln w="25400">
              <a:noFill/>
            </a:ln>
          </c:spPr>
        </c:title>
        <c:numFmt formatCode="General" sourceLinked="1"/>
        <c:tickLblPos val="nextTo"/>
        <c:spPr>
          <a:ln w="3175">
            <a:solidFill>
              <a:srgbClr val="000000"/>
            </a:solidFill>
            <a:prstDash val="solid"/>
          </a:ln>
        </c:spPr>
        <c:txPr>
          <a:bodyPr rot="0" vert="horz"/>
          <a:lstStyle/>
          <a:p>
            <a:pPr>
              <a:defRPr sz="550" b="0" i="0" u="none" strike="noStrike" baseline="0">
                <a:solidFill>
                  <a:srgbClr val="000000"/>
                </a:solidFill>
                <a:latin typeface="Arial"/>
                <a:ea typeface="Arial"/>
                <a:cs typeface="Arial"/>
              </a:defRPr>
            </a:pPr>
            <a:endParaRPr lang="en-US"/>
          </a:p>
        </c:txPr>
        <c:crossAx val="277434752"/>
        <c:crosses val="autoZero"/>
        <c:crossBetween val="midCat"/>
      </c:valAx>
      <c:valAx>
        <c:axId val="277434752"/>
        <c:scaling>
          <c:orientation val="minMax"/>
        </c:scaling>
        <c:axPos val="l"/>
        <c:majorGridlines>
          <c:spPr>
            <a:ln w="3175">
              <a:solidFill>
                <a:srgbClr val="000000"/>
              </a:solidFill>
              <a:prstDash val="solid"/>
            </a:ln>
          </c:spPr>
        </c:majorGridlines>
        <c:title>
          <c:tx>
            <c:rich>
              <a:bodyPr/>
              <a:lstStyle/>
              <a:p>
                <a:pPr>
                  <a:defRPr sz="550" b="1" i="0" u="none" strike="noStrike" baseline="0">
                    <a:solidFill>
                      <a:srgbClr val="000000"/>
                    </a:solidFill>
                    <a:latin typeface="Arial"/>
                    <a:ea typeface="Arial"/>
                    <a:cs typeface="Arial"/>
                  </a:defRPr>
                </a:pPr>
                <a:r>
                  <a:t>Profit / (Loss)</a:t>
                </a:r>
              </a:p>
            </c:rich>
          </c:tx>
          <c:layout>
            <c:manualLayout>
              <c:xMode val="edge"/>
              <c:yMode val="edge"/>
              <c:x val="3.5789530415474273E-2"/>
              <c:y val="0.39310344827586241"/>
            </c:manualLayout>
          </c:layout>
          <c:spPr>
            <a:noFill/>
            <a:ln w="25400">
              <a:noFill/>
            </a:ln>
          </c:spPr>
        </c:title>
        <c:numFmt formatCode="&quot;£&quot;#,##0.00;[Red]\-&quot;£&quot;#,##0.00" sourceLinked="1"/>
        <c:tickLblPos val="nextTo"/>
        <c:spPr>
          <a:ln w="3175">
            <a:solidFill>
              <a:srgbClr val="000000"/>
            </a:solidFill>
            <a:prstDash val="solid"/>
          </a:ln>
        </c:spPr>
        <c:txPr>
          <a:bodyPr rot="0" vert="horz"/>
          <a:lstStyle/>
          <a:p>
            <a:pPr>
              <a:defRPr sz="550" b="0" i="0" u="none" strike="noStrike" baseline="0">
                <a:solidFill>
                  <a:srgbClr val="000000"/>
                </a:solidFill>
                <a:latin typeface="Arial"/>
                <a:ea typeface="Arial"/>
                <a:cs typeface="Arial"/>
              </a:defRPr>
            </a:pPr>
            <a:endParaRPr lang="en-US"/>
          </a:p>
        </c:txPr>
        <c:crossAx val="277428480"/>
        <c:crosses val="autoZero"/>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283464566929143"/>
          <c:y val="6.5616966086793821E-2"/>
          <c:w val="0.83307086614173265"/>
          <c:h val="0.76903084253722365"/>
        </c:manualLayout>
      </c:layout>
      <c:scatterChart>
        <c:scatterStyle val="smoothMarker"/>
        <c:ser>
          <c:idx val="0"/>
          <c:order val="0"/>
          <c:spPr>
            <a:ln w="12700">
              <a:solidFill>
                <a:srgbClr val="000080"/>
              </a:solidFill>
              <a:prstDash val="solid"/>
            </a:ln>
          </c:spPr>
          <c:marker>
            <c:symbol val="none"/>
          </c:marker>
          <c:xVal>
            <c:numRef>
              <c:f>'Old defunct Budget'!$C$80:$C$90</c:f>
              <c:numCache>
                <c:formatCode>_-* #,##0_-;\-* #,##0_-;_-* "-"??_-;_-@_-</c:formatCode>
                <c:ptCount val="11"/>
                <c:pt idx="0">
                  <c:v>24</c:v>
                </c:pt>
                <c:pt idx="1">
                  <c:v>25</c:v>
                </c:pt>
                <c:pt idx="2">
                  <c:v>25</c:v>
                </c:pt>
                <c:pt idx="3">
                  <c:v>26</c:v>
                </c:pt>
                <c:pt idx="4">
                  <c:v>26</c:v>
                </c:pt>
                <c:pt idx="5">
                  <c:v>27</c:v>
                </c:pt>
                <c:pt idx="6">
                  <c:v>28</c:v>
                </c:pt>
                <c:pt idx="7">
                  <c:v>28</c:v>
                </c:pt>
                <c:pt idx="8">
                  <c:v>29</c:v>
                </c:pt>
                <c:pt idx="9">
                  <c:v>29</c:v>
                </c:pt>
                <c:pt idx="10">
                  <c:v>30</c:v>
                </c:pt>
              </c:numCache>
            </c:numRef>
          </c:xVal>
          <c:yVal>
            <c:numRef>
              <c:f>'Old defunct Budget'!$J$80:$J$90</c:f>
              <c:numCache>
                <c:formatCode>"£"#,##0.00;[Red]\-"£"#,##0.00</c:formatCode>
                <c:ptCount val="11"/>
                <c:pt idx="0">
                  <c:v>0</c:v>
                </c:pt>
                <c:pt idx="1">
                  <c:v>0</c:v>
                </c:pt>
                <c:pt idx="2">
                  <c:v>0</c:v>
                </c:pt>
                <c:pt idx="3">
                  <c:v>0</c:v>
                </c:pt>
                <c:pt idx="4">
                  <c:v>0</c:v>
                </c:pt>
                <c:pt idx="5">
                  <c:v>0</c:v>
                </c:pt>
                <c:pt idx="6">
                  <c:v>0</c:v>
                </c:pt>
                <c:pt idx="7">
                  <c:v>0</c:v>
                </c:pt>
                <c:pt idx="8">
                  <c:v>0</c:v>
                </c:pt>
                <c:pt idx="9">
                  <c:v>0</c:v>
                </c:pt>
                <c:pt idx="10">
                  <c:v>0</c:v>
                </c:pt>
              </c:numCache>
            </c:numRef>
          </c:yVal>
          <c:smooth val="1"/>
        </c:ser>
        <c:axId val="277643648"/>
        <c:axId val="277645568"/>
      </c:scatterChart>
      <c:valAx>
        <c:axId val="277643648"/>
        <c:scaling>
          <c:orientation val="minMax"/>
        </c:scaling>
        <c:axPos val="b"/>
        <c:title>
          <c:tx>
            <c:rich>
              <a:bodyPr/>
              <a:lstStyle/>
              <a:p>
                <a:pPr>
                  <a:defRPr sz="800" b="1" i="0" u="none" strike="noStrike" baseline="0">
                    <a:solidFill>
                      <a:srgbClr val="000000"/>
                    </a:solidFill>
                    <a:latin typeface="Arial"/>
                    <a:ea typeface="Arial"/>
                    <a:cs typeface="Arial"/>
                  </a:defRPr>
                </a:pPr>
                <a:r>
                  <a:t>Number of Attendees</a:t>
                </a:r>
              </a:p>
            </c:rich>
          </c:tx>
          <c:layout>
            <c:manualLayout>
              <c:xMode val="edge"/>
              <c:yMode val="edge"/>
              <c:x val="0.44251968503937034"/>
              <c:y val="0.90551401547247534"/>
            </c:manualLayout>
          </c:layout>
          <c:spPr>
            <a:noFill/>
            <a:ln w="25400">
              <a:noFill/>
            </a:ln>
          </c:spPr>
        </c:title>
        <c:numFmt formatCode="_-* #,##0_-;\-* #,##0_-;_-* &quot;-&quot;??_-;_-@_-"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7645568"/>
        <c:crosses val="autoZero"/>
        <c:crossBetween val="midCat"/>
      </c:valAx>
      <c:valAx>
        <c:axId val="277645568"/>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t>Profit / Loss</a:t>
                </a:r>
              </a:p>
            </c:rich>
          </c:tx>
          <c:layout>
            <c:manualLayout>
              <c:xMode val="edge"/>
              <c:yMode val="edge"/>
              <c:x val="2.5196850393700787E-2"/>
              <c:y val="0.35695620724574828"/>
            </c:manualLayout>
          </c:layout>
          <c:spPr>
            <a:noFill/>
            <a:ln w="25400">
              <a:noFill/>
            </a:ln>
          </c:spPr>
        </c:title>
        <c:numFmt formatCode="&quot;£&quot;#,##0.00;[Red]\-&quot;£&quot;#,##0.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7643648"/>
        <c:crosses val="autoZero"/>
        <c:crossBetween val="midCat"/>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21</xdr:col>
      <xdr:colOff>85725</xdr:colOff>
      <xdr:row>80</xdr:row>
      <xdr:rowOff>9525</xdr:rowOff>
    </xdr:from>
    <xdr:to>
      <xdr:col>40</xdr:col>
      <xdr:colOff>0</xdr:colOff>
      <xdr:row>89</xdr:row>
      <xdr:rowOff>552450</xdr:rowOff>
    </xdr:to>
    <xdr:graphicFrame macro="">
      <xdr:nvGraphicFramePr>
        <xdr:cNvPr id="2439" name="Chart 2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71</xdr:row>
      <xdr:rowOff>0</xdr:rowOff>
    </xdr:from>
    <xdr:to>
      <xdr:col>12</xdr:col>
      <xdr:colOff>600075</xdr:colOff>
      <xdr:row>88</xdr:row>
      <xdr:rowOff>9525</xdr:rowOff>
    </xdr:to>
    <xdr:graphicFrame macro="">
      <xdr:nvGraphicFramePr>
        <xdr:cNvPr id="62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91</xdr:row>
      <xdr:rowOff>57150</xdr:rowOff>
    </xdr:from>
    <xdr:to>
      <xdr:col>10</xdr:col>
      <xdr:colOff>723900</xdr:colOff>
      <xdr:row>113</xdr:row>
      <xdr:rowOff>123825</xdr:rowOff>
    </xdr:to>
    <xdr:graphicFrame macro="">
      <xdr:nvGraphicFramePr>
        <xdr:cNvPr id="31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pfs@imperial.ac.uk;%20r.coxhead@imperial.ac.uk?subject=CSB%20Tour%20Application"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S121"/>
  <sheetViews>
    <sheetView tabSelected="1" zoomScaleNormal="100" workbookViewId="0">
      <pane ySplit="4" topLeftCell="A11" activePane="bottomLeft" state="frozen"/>
      <selection pane="bottomLeft" activeCell="A21" sqref="A21:AN30"/>
    </sheetView>
  </sheetViews>
  <sheetFormatPr defaultRowHeight="15.75"/>
  <cols>
    <col min="1" max="15" width="2.7109375" style="101" customWidth="1"/>
    <col min="16" max="23" width="2.7109375" style="98" customWidth="1"/>
    <col min="24" max="24" width="3" style="98" customWidth="1"/>
    <col min="25" max="25" width="2.7109375" style="98" customWidth="1"/>
    <col min="26" max="26" width="3.7109375" style="98" customWidth="1"/>
    <col min="27" max="28" width="4" style="98" customWidth="1"/>
    <col min="29" max="37" width="2.7109375" style="98" customWidth="1"/>
    <col min="38" max="38" width="13" style="98" hidden="1" customWidth="1"/>
    <col min="39" max="43" width="2.7109375" style="98" customWidth="1"/>
    <col min="44" max="16384" width="9.140625" style="98"/>
  </cols>
  <sheetData>
    <row r="1" spans="1:41" ht="26.25">
      <c r="A1" s="385" t="s">
        <v>380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row>
    <row r="2" spans="1:41">
      <c r="A2" s="387" t="s">
        <v>1135</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row>
    <row r="3" spans="1:41" s="99" customFormat="1" ht="11.1" customHeight="1">
      <c r="A3" s="391" t="s">
        <v>394</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row>
    <row r="4" spans="1:41" s="100" customFormat="1" ht="11.1" customHeight="1">
      <c r="A4" s="389" t="s">
        <v>384</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row>
    <row r="5" spans="1:41" ht="6.95" customHeight="1"/>
    <row r="6" spans="1:41" s="104" customFormat="1" ht="18" customHeight="1" thickBot="1">
      <c r="A6" s="409" t="s">
        <v>287</v>
      </c>
      <c r="B6" s="409"/>
      <c r="C6" s="409"/>
      <c r="D6" s="409"/>
      <c r="E6" s="409"/>
      <c r="F6" s="409"/>
      <c r="G6" s="409"/>
      <c r="H6" s="102"/>
      <c r="I6" s="102"/>
      <c r="J6" s="102"/>
      <c r="K6" s="102"/>
      <c r="L6" s="102"/>
      <c r="M6" s="102"/>
      <c r="N6" s="102"/>
      <c r="O6" s="102"/>
      <c r="P6" s="103"/>
      <c r="Q6" s="103"/>
    </row>
    <row r="7" spans="1:41" s="104" customFormat="1" ht="18" customHeight="1" thickBot="1">
      <c r="A7" s="447" t="s">
        <v>214</v>
      </c>
      <c r="B7" s="448"/>
      <c r="C7" s="448"/>
      <c r="D7" s="448"/>
      <c r="E7" s="448"/>
      <c r="F7" s="448"/>
      <c r="G7" s="449"/>
      <c r="H7" s="399" t="s">
        <v>642</v>
      </c>
      <c r="I7" s="399"/>
      <c r="J7" s="399"/>
      <c r="K7" s="400"/>
      <c r="L7" s="418" t="s">
        <v>282</v>
      </c>
      <c r="M7" s="418"/>
      <c r="N7" s="418"/>
      <c r="O7" s="418"/>
      <c r="P7" s="418"/>
      <c r="Q7" s="419"/>
      <c r="R7" s="415" t="str">
        <f>IF(H7="","",VLOOKUP(H7,clubdetails,3,FALSE))</f>
        <v>RSM De La Beche</v>
      </c>
      <c r="S7" s="416"/>
      <c r="T7" s="416"/>
      <c r="U7" s="416"/>
      <c r="V7" s="416"/>
      <c r="W7" s="416"/>
      <c r="X7" s="416"/>
      <c r="Y7" s="416"/>
      <c r="Z7" s="416"/>
      <c r="AA7" s="416"/>
      <c r="AB7" s="416"/>
      <c r="AC7" s="416"/>
      <c r="AD7" s="416"/>
      <c r="AE7" s="416"/>
      <c r="AF7" s="416"/>
      <c r="AG7" s="416"/>
      <c r="AH7" s="416"/>
      <c r="AI7" s="416"/>
      <c r="AJ7" s="416"/>
      <c r="AK7" s="416"/>
      <c r="AL7" s="416"/>
      <c r="AM7" s="416"/>
      <c r="AN7" s="417"/>
    </row>
    <row r="8" spans="1:41" s="104" customFormat="1" ht="18" customHeight="1" thickBot="1">
      <c r="A8" s="450" t="s">
        <v>213</v>
      </c>
      <c r="B8" s="451"/>
      <c r="C8" s="451"/>
      <c r="D8" s="451"/>
      <c r="E8" s="451"/>
      <c r="F8" s="451"/>
      <c r="G8" s="452"/>
      <c r="H8" s="401" t="str">
        <f>IF(H7="","",VLOOKUP(H7,clubdetails,2,FALSE))</f>
        <v>RSM Exec</v>
      </c>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3"/>
    </row>
    <row r="9" spans="1:41" s="104" customFormat="1" ht="6.95" customHeight="1">
      <c r="A9" s="105"/>
      <c r="B9" s="106"/>
      <c r="C9" s="105"/>
      <c r="D9" s="107"/>
      <c r="E9" s="107"/>
      <c r="F9" s="107"/>
      <c r="G9" s="108"/>
      <c r="H9" s="108"/>
      <c r="I9" s="108"/>
      <c r="J9" s="108"/>
      <c r="K9" s="108"/>
      <c r="L9" s="108"/>
      <c r="M9" s="108"/>
      <c r="N9" s="108"/>
      <c r="O9" s="108"/>
    </row>
    <row r="10" spans="1:41" s="104" customFormat="1" ht="18" customHeight="1" thickBot="1">
      <c r="A10" s="453" t="s">
        <v>215</v>
      </c>
      <c r="B10" s="453"/>
      <c r="C10" s="453"/>
      <c r="D10" s="453"/>
      <c r="E10" s="453"/>
      <c r="F10" s="453"/>
      <c r="G10" s="108"/>
      <c r="H10" s="108"/>
      <c r="I10" s="108"/>
      <c r="J10" s="108"/>
      <c r="K10" s="108"/>
      <c r="L10" s="108"/>
      <c r="M10" s="108"/>
      <c r="N10" s="108"/>
      <c r="O10" s="108"/>
      <c r="P10" s="108"/>
      <c r="Q10" s="108"/>
      <c r="R10" s="108"/>
      <c r="S10" s="108"/>
      <c r="T10" s="108"/>
      <c r="U10" s="108"/>
      <c r="V10" s="108"/>
      <c r="W10" s="108"/>
      <c r="X10" s="108"/>
      <c r="Y10" s="108"/>
      <c r="Z10" s="108"/>
      <c r="AA10" s="108"/>
      <c r="AC10" s="109"/>
      <c r="AD10" s="109"/>
      <c r="AE10" s="109"/>
      <c r="AF10" s="109"/>
      <c r="AI10" s="404" t="s">
        <v>221</v>
      </c>
      <c r="AJ10" s="404"/>
      <c r="AK10" s="404"/>
      <c r="AL10" s="404"/>
      <c r="AM10" s="404"/>
      <c r="AN10" s="404"/>
    </row>
    <row r="11" spans="1:41" s="104" customFormat="1" ht="18" customHeight="1" thickBot="1">
      <c r="A11" s="444" t="s">
        <v>216</v>
      </c>
      <c r="B11" s="445"/>
      <c r="C11" s="445"/>
      <c r="D11" s="445"/>
      <c r="E11" s="445"/>
      <c r="F11" s="445"/>
      <c r="G11" s="446"/>
      <c r="H11" s="395" t="s">
        <v>1158</v>
      </c>
      <c r="I11" s="396"/>
      <c r="J11" s="396"/>
      <c r="K11" s="396"/>
      <c r="L11" s="396"/>
      <c r="M11" s="396"/>
      <c r="N11" s="396"/>
      <c r="O11" s="396"/>
      <c r="P11" s="396"/>
      <c r="Q11" s="396"/>
      <c r="R11" s="396"/>
      <c r="S11" s="396"/>
      <c r="T11" s="396"/>
      <c r="U11" s="396"/>
      <c r="V11" s="396"/>
      <c r="W11" s="397"/>
      <c r="X11" s="397"/>
      <c r="Y11" s="397"/>
      <c r="Z11" s="397"/>
      <c r="AA11" s="398"/>
      <c r="AB11" s="110"/>
      <c r="AC11" s="427" t="str">
        <f>IF(I18="","",IF(I18=Lists!F2,IF(Lists!J33&lt;Lists!E2,Lists!B4,Lists!B2),IF(I18=Lists!F3,IF(Lists!J33&lt;Lists!E3,Lists!B2,Lists!B3),IF(I18=Lists!F4,IF(Lists!J33&lt;Lists!E4,Lists!B3,Lists!B4),VLOOKUP(I18,tperiod,2,FALSE)))))</f>
        <v>Between 16th Nov &amp; 15th Feb</v>
      </c>
      <c r="AD11" s="428"/>
      <c r="AE11" s="428"/>
      <c r="AF11" s="428"/>
      <c r="AG11" s="428"/>
      <c r="AH11" s="428"/>
      <c r="AI11" s="428"/>
      <c r="AJ11" s="428"/>
      <c r="AK11" s="428"/>
      <c r="AL11" s="428"/>
      <c r="AM11" s="428"/>
      <c r="AN11" s="429"/>
    </row>
    <row r="12" spans="1:41" s="104" customFormat="1" ht="18" customHeight="1">
      <c r="A12" s="393" t="s">
        <v>217</v>
      </c>
      <c r="B12" s="394"/>
      <c r="C12" s="394"/>
      <c r="D12" s="394"/>
      <c r="E12" s="394"/>
      <c r="F12" s="394"/>
      <c r="G12" s="394"/>
      <c r="H12" s="405" t="s">
        <v>223</v>
      </c>
      <c r="I12" s="406"/>
      <c r="J12" s="406"/>
      <c r="K12" s="406"/>
      <c r="L12" s="406"/>
      <c r="M12" s="406"/>
      <c r="N12" s="406"/>
      <c r="O12" s="406"/>
      <c r="P12" s="406"/>
      <c r="Q12" s="406"/>
      <c r="R12" s="406"/>
      <c r="S12" s="406"/>
      <c r="T12" s="406"/>
      <c r="U12" s="406"/>
      <c r="V12" s="406"/>
      <c r="W12" s="407"/>
      <c r="X12" s="407"/>
      <c r="Y12" s="407"/>
      <c r="Z12" s="407"/>
      <c r="AA12" s="408"/>
      <c r="AB12" s="111"/>
      <c r="AC12" s="421" t="str">
        <f>IF(AC11="","",VLOOKUP(AC11,tseason,2,FALSE))</f>
        <v>WINTER</v>
      </c>
      <c r="AD12" s="422"/>
      <c r="AE12" s="422"/>
      <c r="AF12" s="422"/>
      <c r="AG12" s="422"/>
      <c r="AH12" s="422"/>
      <c r="AI12" s="422"/>
      <c r="AJ12" s="422"/>
      <c r="AK12" s="422"/>
      <c r="AL12" s="422"/>
      <c r="AM12" s="422"/>
      <c r="AN12" s="423"/>
    </row>
    <row r="13" spans="1:41" s="104" customFormat="1" ht="18" customHeight="1" thickBot="1">
      <c r="A13" s="454" t="s">
        <v>218</v>
      </c>
      <c r="B13" s="455"/>
      <c r="C13" s="455"/>
      <c r="D13" s="455"/>
      <c r="E13" s="455"/>
      <c r="F13" s="455"/>
      <c r="G13" s="456"/>
      <c r="H13" s="420" t="s">
        <v>1164</v>
      </c>
      <c r="I13" s="413"/>
      <c r="J13" s="413"/>
      <c r="K13" s="413"/>
      <c r="L13" s="413"/>
      <c r="M13" s="413"/>
      <c r="N13" s="413"/>
      <c r="O13" s="413"/>
      <c r="P13" s="413"/>
      <c r="Q13" s="413"/>
      <c r="R13" s="413"/>
      <c r="S13" s="413"/>
      <c r="T13" s="413"/>
      <c r="U13" s="413"/>
      <c r="V13" s="112" t="s">
        <v>219</v>
      </c>
      <c r="W13" s="113" t="s">
        <v>220</v>
      </c>
      <c r="X13" s="114"/>
      <c r="Y13" s="115"/>
      <c r="Z13" s="115"/>
      <c r="AA13" s="116"/>
      <c r="AB13" s="111"/>
      <c r="AC13" s="424"/>
      <c r="AD13" s="425"/>
      <c r="AE13" s="425"/>
      <c r="AF13" s="425"/>
      <c r="AG13" s="425"/>
      <c r="AH13" s="425"/>
      <c r="AI13" s="425"/>
      <c r="AJ13" s="425"/>
      <c r="AK13" s="425"/>
      <c r="AL13" s="425"/>
      <c r="AM13" s="425"/>
      <c r="AN13" s="426"/>
    </row>
    <row r="14" spans="1:41" s="104" customFormat="1" ht="6.95" customHeight="1">
      <c r="A14" s="108"/>
      <c r="B14" s="108"/>
      <c r="C14" s="108"/>
      <c r="D14" s="108"/>
      <c r="E14" s="117"/>
      <c r="F14" s="117"/>
      <c r="G14" s="117"/>
      <c r="H14" s="108"/>
      <c r="I14" s="108"/>
      <c r="J14" s="108"/>
      <c r="K14" s="108"/>
      <c r="L14" s="108"/>
      <c r="M14" s="108"/>
      <c r="N14" s="108"/>
      <c r="O14" s="108"/>
    </row>
    <row r="15" spans="1:41" s="104" customFormat="1" ht="18" customHeight="1" thickBot="1">
      <c r="A15" s="453" t="s">
        <v>233</v>
      </c>
      <c r="B15" s="453"/>
      <c r="C15" s="453"/>
      <c r="D15" s="453"/>
      <c r="E15" s="453"/>
      <c r="F15" s="453"/>
      <c r="G15" s="108"/>
      <c r="H15" s="108"/>
      <c r="I15" s="108"/>
      <c r="J15" s="108"/>
      <c r="K15" s="108"/>
      <c r="L15" s="108"/>
      <c r="M15" s="108"/>
      <c r="N15" s="108"/>
      <c r="O15" s="108"/>
      <c r="X15" s="118"/>
      <c r="Y15" s="118"/>
      <c r="Z15" s="118"/>
      <c r="AA15" s="118"/>
      <c r="AB15" s="118"/>
      <c r="AC15" s="118"/>
      <c r="AD15" s="410" t="s">
        <v>284</v>
      </c>
      <c r="AE15" s="410"/>
      <c r="AF15" s="410"/>
      <c r="AG15" s="410"/>
      <c r="AH15" s="410"/>
      <c r="AI15" s="410"/>
      <c r="AJ15" s="410"/>
      <c r="AK15" s="410"/>
      <c r="AL15" s="410"/>
      <c r="AM15" s="410"/>
      <c r="AN15" s="410"/>
    </row>
    <row r="16" spans="1:41" s="104" customFormat="1" ht="18" customHeight="1">
      <c r="A16" s="447" t="s">
        <v>234</v>
      </c>
      <c r="B16" s="448"/>
      <c r="C16" s="448"/>
      <c r="D16" s="448"/>
      <c r="E16" s="461" t="s">
        <v>1159</v>
      </c>
      <c r="F16" s="462"/>
      <c r="G16" s="462"/>
      <c r="H16" s="462"/>
      <c r="I16" s="462"/>
      <c r="J16" s="462"/>
      <c r="K16" s="462"/>
      <c r="L16" s="462"/>
      <c r="M16" s="462"/>
      <c r="N16" s="462"/>
      <c r="O16" s="462"/>
      <c r="P16" s="462"/>
      <c r="Q16" s="462"/>
      <c r="R16" s="462"/>
      <c r="S16" s="462"/>
      <c r="T16" s="462"/>
      <c r="U16" s="462"/>
      <c r="V16" s="463"/>
      <c r="W16" s="463"/>
      <c r="X16" s="463"/>
      <c r="Y16" s="463"/>
      <c r="Z16" s="463"/>
      <c r="AA16" s="464"/>
      <c r="AB16" s="119"/>
      <c r="AC16" s="120" t="s">
        <v>283</v>
      </c>
      <c r="AD16" s="121"/>
      <c r="AE16" s="121"/>
      <c r="AF16" s="121"/>
      <c r="AG16" s="121"/>
      <c r="AH16" s="121"/>
      <c r="AI16" s="121"/>
      <c r="AJ16" s="121"/>
      <c r="AK16" s="435">
        <v>30</v>
      </c>
      <c r="AL16" s="436"/>
      <c r="AM16" s="436"/>
      <c r="AN16" s="437"/>
      <c r="AO16" s="122" t="str">
        <f>IF(AK$16="","",IF(AK$16=1,"ICU has policy which",""))</f>
        <v/>
      </c>
    </row>
    <row r="17" spans="1:41" s="104" customFormat="1" ht="18" customHeight="1">
      <c r="A17" s="393" t="s">
        <v>238</v>
      </c>
      <c r="B17" s="394"/>
      <c r="C17" s="394"/>
      <c r="D17" s="394"/>
      <c r="E17" s="438" t="s">
        <v>1160</v>
      </c>
      <c r="F17" s="439"/>
      <c r="G17" s="439"/>
      <c r="H17" s="439"/>
      <c r="I17" s="439"/>
      <c r="J17" s="439"/>
      <c r="K17" s="439"/>
      <c r="L17" s="439"/>
      <c r="M17" s="439"/>
      <c r="N17" s="439"/>
      <c r="O17" s="439"/>
      <c r="P17" s="439"/>
      <c r="Q17" s="439"/>
      <c r="R17" s="439"/>
      <c r="S17" s="439"/>
      <c r="T17" s="439"/>
      <c r="U17" s="439"/>
      <c r="V17" s="440"/>
      <c r="W17" s="440"/>
      <c r="X17" s="440"/>
      <c r="Y17" s="440"/>
      <c r="Z17" s="440"/>
      <c r="AA17" s="441"/>
      <c r="AB17" s="119"/>
      <c r="AC17" s="123" t="s">
        <v>286</v>
      </c>
      <c r="AD17" s="124"/>
      <c r="AE17" s="124"/>
      <c r="AF17" s="124"/>
      <c r="AG17" s="124"/>
      <c r="AH17" s="124"/>
      <c r="AI17" s="124"/>
      <c r="AJ17" s="124"/>
      <c r="AK17" s="532">
        <v>0</v>
      </c>
      <c r="AL17" s="533"/>
      <c r="AM17" s="533"/>
      <c r="AN17" s="534"/>
      <c r="AO17" s="122" t="str">
        <f>IF(AK$16="","",IF(AK$16=1,"prevents funding of tours",""))</f>
        <v/>
      </c>
    </row>
    <row r="18" spans="1:41" s="104" customFormat="1" ht="18" customHeight="1" thickBot="1">
      <c r="A18" s="125" t="s">
        <v>295</v>
      </c>
      <c r="B18" s="126"/>
      <c r="C18" s="127"/>
      <c r="D18" s="127"/>
      <c r="E18" s="430" t="s">
        <v>236</v>
      </c>
      <c r="F18" s="431"/>
      <c r="G18" s="413" t="s">
        <v>263</v>
      </c>
      <c r="H18" s="414"/>
      <c r="I18" s="468" t="s">
        <v>270</v>
      </c>
      <c r="J18" s="469"/>
      <c r="K18" s="411">
        <v>2011</v>
      </c>
      <c r="L18" s="412"/>
      <c r="M18" s="430" t="s">
        <v>237</v>
      </c>
      <c r="N18" s="431"/>
      <c r="O18" s="413" t="s">
        <v>265</v>
      </c>
      <c r="P18" s="414"/>
      <c r="Q18" s="481" t="s">
        <v>270</v>
      </c>
      <c r="R18" s="469"/>
      <c r="S18" s="411">
        <v>2011</v>
      </c>
      <c r="T18" s="412"/>
      <c r="U18" s="432"/>
      <c r="V18" s="433"/>
      <c r="W18" s="433"/>
      <c r="X18" s="433"/>
      <c r="Y18" s="433"/>
      <c r="Z18" s="433"/>
      <c r="AA18" s="434"/>
      <c r="AB18" s="119"/>
      <c r="AC18" s="128" t="s">
        <v>285</v>
      </c>
      <c r="AD18" s="129"/>
      <c r="AE18" s="129"/>
      <c r="AF18" s="129"/>
      <c r="AG18" s="129"/>
      <c r="AH18" s="129"/>
      <c r="AI18" s="129"/>
      <c r="AJ18" s="129"/>
      <c r="AK18" s="442">
        <f>IF(AK16+AK17=0,"",AK16+AK17)</f>
        <v>30</v>
      </c>
      <c r="AL18" s="432"/>
      <c r="AM18" s="432"/>
      <c r="AN18" s="443"/>
      <c r="AO18" s="122" t="str">
        <f>IF(AK$16="","",IF(AK$16=1,"with only one person",""))</f>
        <v/>
      </c>
    </row>
    <row r="19" spans="1:41" s="104" customFormat="1" ht="6.95" customHeight="1">
      <c r="A19" s="108"/>
      <c r="B19" s="108"/>
      <c r="C19" s="108"/>
      <c r="D19" s="108"/>
      <c r="E19" s="108"/>
      <c r="F19" s="108"/>
      <c r="G19" s="108"/>
      <c r="H19" s="108"/>
      <c r="I19" s="108"/>
      <c r="J19" s="108"/>
      <c r="K19" s="108"/>
      <c r="L19" s="108"/>
      <c r="M19" s="108"/>
      <c r="N19" s="108"/>
      <c r="O19" s="108"/>
      <c r="AO19" s="122"/>
    </row>
    <row r="20" spans="1:41">
      <c r="A20" s="485" t="s">
        <v>387</v>
      </c>
      <c r="B20" s="485"/>
      <c r="C20" s="485"/>
      <c r="D20" s="485"/>
      <c r="E20" s="485"/>
      <c r="F20" s="485"/>
      <c r="G20" s="485"/>
      <c r="H20" s="485"/>
      <c r="Z20" s="486" t="s">
        <v>389</v>
      </c>
      <c r="AA20" s="486"/>
      <c r="AB20" s="486"/>
      <c r="AC20" s="486"/>
      <c r="AD20" s="486"/>
      <c r="AE20" s="486"/>
      <c r="AF20" s="486"/>
      <c r="AG20" s="486"/>
      <c r="AH20" s="486"/>
      <c r="AI20" s="486"/>
      <c r="AJ20" s="486"/>
      <c r="AK20" s="486"/>
      <c r="AL20" s="486"/>
      <c r="AM20" s="486"/>
      <c r="AN20" s="486"/>
      <c r="AO20" s="122" t="str">
        <f>IF(AK$16="","",IF(AK$16=1,"http://www.union.ic.ac.uk/meetings/files/paper6-166-1421.pdf",""))</f>
        <v/>
      </c>
    </row>
    <row r="21" spans="1:41" ht="15" customHeight="1">
      <c r="A21" s="472" t="s">
        <v>1165</v>
      </c>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3"/>
      <c r="AN21" s="474"/>
      <c r="AO21" s="122"/>
    </row>
    <row r="22" spans="1:41">
      <c r="A22" s="475"/>
      <c r="B22" s="476"/>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7"/>
    </row>
    <row r="23" spans="1:41">
      <c r="A23" s="475"/>
      <c r="B23" s="476"/>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7"/>
    </row>
    <row r="24" spans="1:41">
      <c r="A24" s="475"/>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6"/>
      <c r="AM24" s="476"/>
      <c r="AN24" s="477"/>
    </row>
    <row r="25" spans="1:41">
      <c r="A25" s="475"/>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7"/>
    </row>
    <row r="26" spans="1:41">
      <c r="A26" s="475"/>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7"/>
    </row>
    <row r="27" spans="1:41">
      <c r="A27" s="475"/>
      <c r="B27" s="476"/>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7"/>
    </row>
    <row r="28" spans="1:41">
      <c r="A28" s="475"/>
      <c r="B28" s="476"/>
      <c r="C28" s="476"/>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476"/>
      <c r="AL28" s="476"/>
      <c r="AM28" s="476"/>
      <c r="AN28" s="477"/>
    </row>
    <row r="29" spans="1:41">
      <c r="A29" s="475"/>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7"/>
    </row>
    <row r="30" spans="1:41" ht="15.75" customHeight="1">
      <c r="A30" s="478"/>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M30" s="479"/>
      <c r="AN30" s="480"/>
    </row>
    <row r="31" spans="1:41" ht="6.95" customHeight="1">
      <c r="A31" s="130"/>
    </row>
    <row r="32" spans="1:41" ht="15.75" customHeight="1" thickBot="1">
      <c r="A32" s="131" t="s">
        <v>289</v>
      </c>
    </row>
    <row r="33" spans="1:44">
      <c r="A33" s="482" t="s">
        <v>343</v>
      </c>
      <c r="B33" s="483"/>
      <c r="C33" s="483"/>
      <c r="D33" s="483"/>
      <c r="E33" s="483"/>
      <c r="F33" s="483"/>
      <c r="G33" s="483"/>
      <c r="H33" s="483"/>
      <c r="I33" s="483"/>
      <c r="J33" s="483"/>
      <c r="K33" s="483"/>
      <c r="L33" s="483"/>
      <c r="M33" s="483"/>
      <c r="N33" s="483"/>
      <c r="O33" s="483"/>
      <c r="P33" s="483"/>
      <c r="Q33" s="483"/>
      <c r="R33" s="483"/>
      <c r="S33" s="484"/>
      <c r="T33" s="314" t="s">
        <v>320</v>
      </c>
      <c r="U33" s="314"/>
      <c r="V33" s="314"/>
      <c r="W33" s="314"/>
      <c r="X33" s="314" t="s">
        <v>298</v>
      </c>
      <c r="Y33" s="365"/>
      <c r="Z33" s="460" t="s">
        <v>318</v>
      </c>
      <c r="AA33" s="365"/>
      <c r="AB33" s="365"/>
      <c r="AC33" s="314" t="s">
        <v>290</v>
      </c>
      <c r="AD33" s="365"/>
      <c r="AE33" s="365"/>
      <c r="AF33" s="365"/>
      <c r="AG33" s="465" t="s">
        <v>1005</v>
      </c>
      <c r="AH33" s="465"/>
      <c r="AI33" s="465"/>
      <c r="AJ33" s="465"/>
      <c r="AK33" s="465"/>
      <c r="AL33" s="465"/>
      <c r="AM33" s="465"/>
      <c r="AN33" s="466"/>
    </row>
    <row r="34" spans="1:44" s="133" customFormat="1" ht="12" customHeight="1" thickBot="1">
      <c r="A34" s="362" t="s">
        <v>324</v>
      </c>
      <c r="B34" s="457"/>
      <c r="C34" s="457"/>
      <c r="D34" s="457"/>
      <c r="E34" s="457"/>
      <c r="F34" s="457"/>
      <c r="G34" s="457"/>
      <c r="H34" s="457"/>
      <c r="I34" s="457"/>
      <c r="J34" s="457"/>
      <c r="K34" s="457"/>
      <c r="L34" s="457"/>
      <c r="M34" s="457"/>
      <c r="N34" s="457"/>
      <c r="O34" s="457"/>
      <c r="P34" s="457"/>
      <c r="Q34" s="457"/>
      <c r="R34" s="457"/>
      <c r="S34" s="457"/>
      <c r="T34" s="458">
        <v>375</v>
      </c>
      <c r="U34" s="458"/>
      <c r="V34" s="458"/>
      <c r="W34" s="458"/>
      <c r="X34" s="301">
        <v>1</v>
      </c>
      <c r="Y34" s="459"/>
      <c r="Z34" s="132" t="s">
        <v>996</v>
      </c>
      <c r="AA34" s="301" t="s">
        <v>1010</v>
      </c>
      <c r="AB34" s="459"/>
      <c r="AC34" s="318">
        <f>T34*X34</f>
        <v>375</v>
      </c>
      <c r="AD34" s="459"/>
      <c r="AE34" s="459"/>
      <c r="AF34" s="459"/>
      <c r="AG34" s="301" t="s">
        <v>1011</v>
      </c>
      <c r="AH34" s="301"/>
      <c r="AI34" s="301"/>
      <c r="AJ34" s="301"/>
      <c r="AK34" s="301"/>
      <c r="AL34" s="301"/>
      <c r="AM34" s="301"/>
      <c r="AN34" s="302"/>
      <c r="AO34" s="278" t="s">
        <v>1028</v>
      </c>
      <c r="AP34" s="279"/>
    </row>
    <row r="35" spans="1:44" s="137" customFormat="1" ht="12.75">
      <c r="A35" s="470" t="s">
        <v>1161</v>
      </c>
      <c r="B35" s="471"/>
      <c r="C35" s="471"/>
      <c r="D35" s="471"/>
      <c r="E35" s="471"/>
      <c r="F35" s="471"/>
      <c r="G35" s="471"/>
      <c r="H35" s="471"/>
      <c r="I35" s="471"/>
      <c r="J35" s="471"/>
      <c r="K35" s="471"/>
      <c r="L35" s="471"/>
      <c r="M35" s="471"/>
      <c r="N35" s="471"/>
      <c r="O35" s="471"/>
      <c r="P35" s="471"/>
      <c r="Q35" s="471"/>
      <c r="R35" s="471"/>
      <c r="S35" s="471"/>
      <c r="T35" s="326">
        <v>440</v>
      </c>
      <c r="U35" s="326"/>
      <c r="V35" s="326"/>
      <c r="W35" s="326"/>
      <c r="X35" s="325">
        <v>1</v>
      </c>
      <c r="Y35" s="467"/>
      <c r="Z35" s="134" t="s">
        <v>996</v>
      </c>
      <c r="AA35" s="325" t="s">
        <v>1140</v>
      </c>
      <c r="AB35" s="467"/>
      <c r="AC35" s="303">
        <f>IF('Tour Budget'!L20=0,"",'Tour Budget'!L20)</f>
        <v>440</v>
      </c>
      <c r="AD35" s="304"/>
      <c r="AE35" s="304"/>
      <c r="AF35" s="304"/>
      <c r="AG35" s="299" t="s">
        <v>353</v>
      </c>
      <c r="AH35" s="299"/>
      <c r="AI35" s="299"/>
      <c r="AJ35" s="299"/>
      <c r="AK35" s="299"/>
      <c r="AL35" s="299"/>
      <c r="AM35" s="299"/>
      <c r="AN35" s="300"/>
      <c r="AO35" s="260" t="b">
        <v>0</v>
      </c>
      <c r="AP35" s="261"/>
      <c r="AQ35" s="135"/>
      <c r="AR35" s="136"/>
    </row>
    <row r="36" spans="1:44" s="137" customFormat="1" ht="12.75">
      <c r="A36" s="307" t="s">
        <v>1163</v>
      </c>
      <c r="B36" s="308"/>
      <c r="C36" s="308"/>
      <c r="D36" s="308"/>
      <c r="E36" s="308"/>
      <c r="F36" s="308"/>
      <c r="G36" s="308"/>
      <c r="H36" s="308"/>
      <c r="I36" s="308"/>
      <c r="J36" s="308"/>
      <c r="K36" s="308"/>
      <c r="L36" s="308"/>
      <c r="M36" s="308"/>
      <c r="N36" s="308"/>
      <c r="O36" s="308"/>
      <c r="P36" s="308"/>
      <c r="Q36" s="308"/>
      <c r="R36" s="308"/>
      <c r="S36" s="308"/>
      <c r="T36" s="262">
        <v>900</v>
      </c>
      <c r="U36" s="262"/>
      <c r="V36" s="262"/>
      <c r="W36" s="262"/>
      <c r="X36" s="263">
        <v>1</v>
      </c>
      <c r="Y36" s="310"/>
      <c r="Z36" s="138" t="s">
        <v>996</v>
      </c>
      <c r="AA36" s="271" t="s">
        <v>1141</v>
      </c>
      <c r="AB36" s="306"/>
      <c r="AC36" s="303">
        <f ca="1">IF('Tour Budget'!L21=0,"",'Tour Budget'!L21)</f>
        <v>765.95744680851067</v>
      </c>
      <c r="AD36" s="304"/>
      <c r="AE36" s="304"/>
      <c r="AF36" s="304"/>
      <c r="AG36" s="280" t="s">
        <v>968</v>
      </c>
      <c r="AH36" s="280"/>
      <c r="AI36" s="280"/>
      <c r="AJ36" s="280"/>
      <c r="AK36" s="280"/>
      <c r="AL36" s="280"/>
      <c r="AM36" s="280"/>
      <c r="AN36" s="281"/>
      <c r="AO36" s="260" t="b">
        <v>0</v>
      </c>
      <c r="AP36" s="261"/>
    </row>
    <row r="37" spans="1:44" s="137" customFormat="1" ht="12.75">
      <c r="A37" s="307" t="s">
        <v>1162</v>
      </c>
      <c r="B37" s="308"/>
      <c r="C37" s="308"/>
      <c r="D37" s="308"/>
      <c r="E37" s="308"/>
      <c r="F37" s="308"/>
      <c r="G37" s="308"/>
      <c r="H37" s="308"/>
      <c r="I37" s="308"/>
      <c r="J37" s="308"/>
      <c r="K37" s="308"/>
      <c r="L37" s="308"/>
      <c r="M37" s="308"/>
      <c r="N37" s="308"/>
      <c r="O37" s="308"/>
      <c r="P37" s="308"/>
      <c r="Q37" s="308"/>
      <c r="R37" s="308"/>
      <c r="S37" s="308"/>
      <c r="T37" s="262">
        <v>480</v>
      </c>
      <c r="U37" s="262"/>
      <c r="V37" s="262"/>
      <c r="W37" s="262"/>
      <c r="X37" s="263">
        <v>1</v>
      </c>
      <c r="Y37" s="310"/>
      <c r="Z37" s="138" t="s">
        <v>996</v>
      </c>
      <c r="AA37" s="271" t="s">
        <v>1141</v>
      </c>
      <c r="AB37" s="306"/>
      <c r="AC37" s="303">
        <f ca="1">IF('Tour Budget'!L22=0,"",'Tour Budget'!L22)</f>
        <v>408.51063829787233</v>
      </c>
      <c r="AD37" s="304"/>
      <c r="AE37" s="304"/>
      <c r="AF37" s="304"/>
      <c r="AG37" s="280" t="s">
        <v>942</v>
      </c>
      <c r="AH37" s="280"/>
      <c r="AI37" s="280"/>
      <c r="AJ37" s="280"/>
      <c r="AK37" s="280"/>
      <c r="AL37" s="280"/>
      <c r="AM37" s="280"/>
      <c r="AN37" s="281"/>
      <c r="AO37" s="260" t="b">
        <v>0</v>
      </c>
      <c r="AP37" s="261"/>
    </row>
    <row r="38" spans="1:44" s="137" customFormat="1" ht="12.75">
      <c r="A38" s="307"/>
      <c r="B38" s="308"/>
      <c r="C38" s="308"/>
      <c r="D38" s="308"/>
      <c r="E38" s="308"/>
      <c r="F38" s="308"/>
      <c r="G38" s="308"/>
      <c r="H38" s="308"/>
      <c r="I38" s="308"/>
      <c r="J38" s="308"/>
      <c r="K38" s="308"/>
      <c r="L38" s="308"/>
      <c r="M38" s="308"/>
      <c r="N38" s="308"/>
      <c r="O38" s="308"/>
      <c r="P38" s="308"/>
      <c r="Q38" s="308"/>
      <c r="R38" s="308"/>
      <c r="S38" s="308"/>
      <c r="T38" s="262"/>
      <c r="U38" s="262"/>
      <c r="V38" s="262"/>
      <c r="W38" s="262"/>
      <c r="X38" s="263"/>
      <c r="Y38" s="310"/>
      <c r="Z38" s="138" t="s">
        <v>996</v>
      </c>
      <c r="AA38" s="271" t="s">
        <v>1010</v>
      </c>
      <c r="AB38" s="306"/>
      <c r="AC38" s="303" t="str">
        <f>IF('Tour Budget'!L23=0,"",'Tour Budget'!L23)</f>
        <v/>
      </c>
      <c r="AD38" s="304"/>
      <c r="AE38" s="304"/>
      <c r="AF38" s="304"/>
      <c r="AG38" s="280"/>
      <c r="AH38" s="280"/>
      <c r="AI38" s="280"/>
      <c r="AJ38" s="280"/>
      <c r="AK38" s="280"/>
      <c r="AL38" s="280"/>
      <c r="AM38" s="280"/>
      <c r="AN38" s="281"/>
      <c r="AO38" s="260" t="b">
        <v>0</v>
      </c>
      <c r="AP38" s="261"/>
    </row>
    <row r="39" spans="1:44" s="137" customFormat="1" ht="12.75">
      <c r="A39" s="307"/>
      <c r="B39" s="308"/>
      <c r="C39" s="308"/>
      <c r="D39" s="308"/>
      <c r="E39" s="308"/>
      <c r="F39" s="308"/>
      <c r="G39" s="308"/>
      <c r="H39" s="308"/>
      <c r="I39" s="308"/>
      <c r="J39" s="308"/>
      <c r="K39" s="308"/>
      <c r="L39" s="308"/>
      <c r="M39" s="308"/>
      <c r="N39" s="308"/>
      <c r="O39" s="308"/>
      <c r="P39" s="308"/>
      <c r="Q39" s="308"/>
      <c r="R39" s="308"/>
      <c r="S39" s="308"/>
      <c r="T39" s="262"/>
      <c r="U39" s="262"/>
      <c r="V39" s="262"/>
      <c r="W39" s="262"/>
      <c r="X39" s="263"/>
      <c r="Y39" s="310"/>
      <c r="Z39" s="138" t="s">
        <v>996</v>
      </c>
      <c r="AA39" s="271" t="s">
        <v>1010</v>
      </c>
      <c r="AB39" s="306"/>
      <c r="AC39" s="303" t="str">
        <f>IF('Tour Budget'!L24=0,"",'Tour Budget'!L24)</f>
        <v/>
      </c>
      <c r="AD39" s="304"/>
      <c r="AE39" s="304"/>
      <c r="AF39" s="304"/>
      <c r="AG39" s="280"/>
      <c r="AH39" s="280"/>
      <c r="AI39" s="280"/>
      <c r="AJ39" s="280"/>
      <c r="AK39" s="280"/>
      <c r="AL39" s="280"/>
      <c r="AM39" s="280"/>
      <c r="AN39" s="281"/>
      <c r="AO39" s="260" t="b">
        <v>0</v>
      </c>
      <c r="AP39" s="261"/>
    </row>
    <row r="40" spans="1:44" s="137" customFormat="1" ht="12.75">
      <c r="A40" s="307"/>
      <c r="B40" s="308"/>
      <c r="C40" s="308"/>
      <c r="D40" s="308"/>
      <c r="E40" s="308"/>
      <c r="F40" s="308"/>
      <c r="G40" s="308"/>
      <c r="H40" s="308"/>
      <c r="I40" s="308"/>
      <c r="J40" s="308"/>
      <c r="K40" s="308"/>
      <c r="L40" s="308"/>
      <c r="M40" s="308"/>
      <c r="N40" s="308"/>
      <c r="O40" s="308"/>
      <c r="P40" s="308"/>
      <c r="Q40" s="308"/>
      <c r="R40" s="308"/>
      <c r="S40" s="308"/>
      <c r="T40" s="262"/>
      <c r="U40" s="262"/>
      <c r="V40" s="262"/>
      <c r="W40" s="262"/>
      <c r="X40" s="263"/>
      <c r="Y40" s="310"/>
      <c r="Z40" s="138" t="s">
        <v>996</v>
      </c>
      <c r="AA40" s="271" t="s">
        <v>1010</v>
      </c>
      <c r="AB40" s="306"/>
      <c r="AC40" s="303" t="str">
        <f>IF('Tour Budget'!L25=0,"",'Tour Budget'!L25)</f>
        <v/>
      </c>
      <c r="AD40" s="304"/>
      <c r="AE40" s="304"/>
      <c r="AF40" s="304"/>
      <c r="AG40" s="280"/>
      <c r="AH40" s="280"/>
      <c r="AI40" s="280"/>
      <c r="AJ40" s="280"/>
      <c r="AK40" s="280"/>
      <c r="AL40" s="280"/>
      <c r="AM40" s="280"/>
      <c r="AN40" s="281"/>
      <c r="AO40" s="260" t="b">
        <v>0</v>
      </c>
      <c r="AP40" s="261"/>
    </row>
    <row r="41" spans="1:44" s="137" customFormat="1" ht="12.75">
      <c r="A41" s="307"/>
      <c r="B41" s="308"/>
      <c r="C41" s="308"/>
      <c r="D41" s="308"/>
      <c r="E41" s="308"/>
      <c r="F41" s="308"/>
      <c r="G41" s="308"/>
      <c r="H41" s="308"/>
      <c r="I41" s="308"/>
      <c r="J41" s="308"/>
      <c r="K41" s="308"/>
      <c r="L41" s="308"/>
      <c r="M41" s="308"/>
      <c r="N41" s="308"/>
      <c r="O41" s="308"/>
      <c r="P41" s="308"/>
      <c r="Q41" s="308"/>
      <c r="R41" s="308"/>
      <c r="S41" s="308"/>
      <c r="T41" s="262"/>
      <c r="U41" s="262"/>
      <c r="V41" s="262"/>
      <c r="W41" s="262"/>
      <c r="X41" s="263"/>
      <c r="Y41" s="310"/>
      <c r="Z41" s="138" t="s">
        <v>996</v>
      </c>
      <c r="AA41" s="271" t="s">
        <v>1010</v>
      </c>
      <c r="AB41" s="306"/>
      <c r="AC41" s="303" t="str">
        <f>IF('Tour Budget'!L26=0,"",'Tour Budget'!L26)</f>
        <v/>
      </c>
      <c r="AD41" s="304"/>
      <c r="AE41" s="304"/>
      <c r="AF41" s="304"/>
      <c r="AG41" s="280"/>
      <c r="AH41" s="280"/>
      <c r="AI41" s="280"/>
      <c r="AJ41" s="280"/>
      <c r="AK41" s="280"/>
      <c r="AL41" s="280"/>
      <c r="AM41" s="280"/>
      <c r="AN41" s="281"/>
      <c r="AO41" s="260" t="b">
        <v>0</v>
      </c>
      <c r="AP41" s="261"/>
    </row>
    <row r="42" spans="1:44" s="137" customFormat="1" ht="12.75">
      <c r="A42" s="307"/>
      <c r="B42" s="308"/>
      <c r="C42" s="308"/>
      <c r="D42" s="308"/>
      <c r="E42" s="308"/>
      <c r="F42" s="308"/>
      <c r="G42" s="308"/>
      <c r="H42" s="308"/>
      <c r="I42" s="308"/>
      <c r="J42" s="308"/>
      <c r="K42" s="308"/>
      <c r="L42" s="308"/>
      <c r="M42" s="308"/>
      <c r="N42" s="308"/>
      <c r="O42" s="308"/>
      <c r="P42" s="308"/>
      <c r="Q42" s="308"/>
      <c r="R42" s="308"/>
      <c r="S42" s="308"/>
      <c r="T42" s="262"/>
      <c r="U42" s="262"/>
      <c r="V42" s="262"/>
      <c r="W42" s="262"/>
      <c r="X42" s="263"/>
      <c r="Y42" s="310"/>
      <c r="Z42" s="138" t="s">
        <v>996</v>
      </c>
      <c r="AA42" s="271" t="s">
        <v>1010</v>
      </c>
      <c r="AB42" s="306"/>
      <c r="AC42" s="303" t="str">
        <f>IF('Tour Budget'!L27=0,"",'Tour Budget'!L27)</f>
        <v/>
      </c>
      <c r="AD42" s="304"/>
      <c r="AE42" s="304"/>
      <c r="AF42" s="304"/>
      <c r="AG42" s="280"/>
      <c r="AH42" s="280"/>
      <c r="AI42" s="280"/>
      <c r="AJ42" s="280"/>
      <c r="AK42" s="280"/>
      <c r="AL42" s="280"/>
      <c r="AM42" s="280"/>
      <c r="AN42" s="281"/>
      <c r="AO42" s="260" t="b">
        <v>0</v>
      </c>
      <c r="AP42" s="261"/>
    </row>
    <row r="43" spans="1:44" s="137" customFormat="1" ht="12.75">
      <c r="A43" s="307"/>
      <c r="B43" s="308"/>
      <c r="C43" s="308"/>
      <c r="D43" s="308"/>
      <c r="E43" s="308"/>
      <c r="F43" s="308"/>
      <c r="G43" s="308"/>
      <c r="H43" s="308"/>
      <c r="I43" s="308"/>
      <c r="J43" s="308"/>
      <c r="K43" s="308"/>
      <c r="L43" s="308"/>
      <c r="M43" s="308"/>
      <c r="N43" s="308"/>
      <c r="O43" s="308"/>
      <c r="P43" s="308"/>
      <c r="Q43" s="308"/>
      <c r="R43" s="308"/>
      <c r="S43" s="308"/>
      <c r="T43" s="262"/>
      <c r="U43" s="262"/>
      <c r="V43" s="262"/>
      <c r="W43" s="262"/>
      <c r="X43" s="263"/>
      <c r="Y43" s="310"/>
      <c r="Z43" s="138" t="s">
        <v>996</v>
      </c>
      <c r="AA43" s="271" t="s">
        <v>1010</v>
      </c>
      <c r="AB43" s="306"/>
      <c r="AC43" s="303" t="str">
        <f>IF('Tour Budget'!L28=0,"",'Tour Budget'!L28)</f>
        <v/>
      </c>
      <c r="AD43" s="304"/>
      <c r="AE43" s="304"/>
      <c r="AF43" s="304"/>
      <c r="AG43" s="280"/>
      <c r="AH43" s="280"/>
      <c r="AI43" s="280"/>
      <c r="AJ43" s="280"/>
      <c r="AK43" s="280"/>
      <c r="AL43" s="280"/>
      <c r="AM43" s="280"/>
      <c r="AN43" s="281"/>
      <c r="AO43" s="260" t="b">
        <v>0</v>
      </c>
      <c r="AP43" s="261"/>
    </row>
    <row r="44" spans="1:44" s="137" customFormat="1" ht="13.5" thickBot="1">
      <c r="A44" s="506"/>
      <c r="B44" s="507"/>
      <c r="C44" s="507"/>
      <c r="D44" s="507"/>
      <c r="E44" s="507"/>
      <c r="F44" s="507"/>
      <c r="G44" s="507"/>
      <c r="H44" s="507"/>
      <c r="I44" s="507"/>
      <c r="J44" s="507"/>
      <c r="K44" s="507"/>
      <c r="L44" s="507"/>
      <c r="M44" s="507"/>
      <c r="N44" s="507"/>
      <c r="O44" s="507"/>
      <c r="P44" s="507"/>
      <c r="Q44" s="507"/>
      <c r="R44" s="507"/>
      <c r="S44" s="507"/>
      <c r="T44" s="309"/>
      <c r="U44" s="309"/>
      <c r="V44" s="309"/>
      <c r="W44" s="309"/>
      <c r="X44" s="267"/>
      <c r="Y44" s="311"/>
      <c r="Z44" s="139" t="s">
        <v>996</v>
      </c>
      <c r="AA44" s="267" t="s">
        <v>1010</v>
      </c>
      <c r="AB44" s="311"/>
      <c r="AC44" s="288" t="str">
        <f>IF('Tour Budget'!L29=0,"",'Tour Budget'!L29)</f>
        <v/>
      </c>
      <c r="AD44" s="289"/>
      <c r="AE44" s="289"/>
      <c r="AF44" s="289"/>
      <c r="AG44" s="297"/>
      <c r="AH44" s="297"/>
      <c r="AI44" s="297"/>
      <c r="AJ44" s="297"/>
      <c r="AK44" s="297"/>
      <c r="AL44" s="297"/>
      <c r="AM44" s="297"/>
      <c r="AN44" s="298"/>
      <c r="AO44" s="260" t="b">
        <v>0</v>
      </c>
      <c r="AP44" s="261"/>
    </row>
    <row r="45" spans="1:44" ht="6.95" customHeight="1"/>
    <row r="46" spans="1:44" ht="15" customHeight="1">
      <c r="A46" s="305" t="s">
        <v>383</v>
      </c>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row>
    <row r="47" spans="1:44" ht="12" customHeight="1">
      <c r="A47" s="305"/>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row>
    <row r="48" spans="1:44" s="141" customFormat="1" ht="12" customHeight="1">
      <c r="A48" s="508" t="s">
        <v>385</v>
      </c>
      <c r="B48" s="508"/>
      <c r="C48" s="508"/>
      <c r="D48" s="508"/>
      <c r="E48" s="508"/>
      <c r="F48" s="508"/>
      <c r="G48" s="508"/>
      <c r="H48" s="508"/>
      <c r="I48" s="508"/>
      <c r="J48" s="508"/>
      <c r="K48" s="508"/>
      <c r="L48" s="508"/>
      <c r="M48" s="508"/>
      <c r="N48" s="508"/>
      <c r="O48" s="508"/>
      <c r="P48" s="508"/>
      <c r="Q48" s="508"/>
      <c r="R48" s="508"/>
      <c r="S48" s="508"/>
      <c r="T48" s="292">
        <v>555</v>
      </c>
      <c r="U48" s="292"/>
      <c r="V48" s="292"/>
      <c r="W48" s="292"/>
      <c r="X48" s="317">
        <v>1</v>
      </c>
      <c r="Y48" s="317"/>
      <c r="Z48" s="140" t="s">
        <v>996</v>
      </c>
      <c r="AA48" s="292" t="s">
        <v>1010</v>
      </c>
      <c r="AB48" s="292"/>
      <c r="AC48" s="292">
        <f>T48*X48</f>
        <v>555</v>
      </c>
      <c r="AD48" s="293"/>
      <c r="AE48" s="293"/>
      <c r="AF48" s="293"/>
      <c r="AG48" s="279" t="s">
        <v>353</v>
      </c>
      <c r="AH48" s="279"/>
      <c r="AI48" s="279"/>
      <c r="AJ48" s="279"/>
      <c r="AK48" s="279"/>
      <c r="AL48" s="279"/>
      <c r="AM48" s="279"/>
      <c r="AN48" s="279"/>
    </row>
    <row r="49" spans="1:42" ht="6.95" customHeight="1" thickBot="1"/>
    <row r="50" spans="1:42">
      <c r="A50" s="315" t="s">
        <v>344</v>
      </c>
      <c r="B50" s="316"/>
      <c r="C50" s="316"/>
      <c r="D50" s="316"/>
      <c r="E50" s="316"/>
      <c r="F50" s="316"/>
      <c r="G50" s="316"/>
      <c r="H50" s="316"/>
      <c r="I50" s="316"/>
      <c r="J50" s="316"/>
      <c r="K50" s="316"/>
      <c r="L50" s="316"/>
      <c r="M50" s="316"/>
      <c r="N50" s="316"/>
      <c r="O50" s="316"/>
      <c r="P50" s="314" t="s">
        <v>320</v>
      </c>
      <c r="Q50" s="314"/>
      <c r="R50" s="314"/>
      <c r="S50" s="314"/>
      <c r="T50" s="314" t="s">
        <v>298</v>
      </c>
      <c r="U50" s="314"/>
      <c r="V50" s="314" t="s">
        <v>321</v>
      </c>
      <c r="W50" s="314"/>
      <c r="X50" s="314"/>
      <c r="Y50" s="314"/>
      <c r="Z50" s="291" t="s">
        <v>318</v>
      </c>
      <c r="AA50" s="291"/>
      <c r="AB50" s="291"/>
      <c r="AC50" s="291" t="s">
        <v>290</v>
      </c>
      <c r="AD50" s="291"/>
      <c r="AE50" s="291"/>
      <c r="AF50" s="291"/>
      <c r="AG50" s="294" t="s">
        <v>1005</v>
      </c>
      <c r="AH50" s="295"/>
      <c r="AI50" s="295"/>
      <c r="AJ50" s="295"/>
      <c r="AK50" s="295"/>
      <c r="AL50" s="295"/>
      <c r="AM50" s="295"/>
      <c r="AN50" s="296"/>
    </row>
    <row r="51" spans="1:42" s="133" customFormat="1" ht="12" customHeight="1" thickBot="1">
      <c r="A51" s="362" t="s">
        <v>325</v>
      </c>
      <c r="B51" s="457"/>
      <c r="C51" s="457"/>
      <c r="D51" s="457"/>
      <c r="E51" s="457"/>
      <c r="F51" s="457"/>
      <c r="G51" s="457"/>
      <c r="H51" s="457"/>
      <c r="I51" s="457"/>
      <c r="J51" s="457"/>
      <c r="K51" s="457"/>
      <c r="L51" s="457"/>
      <c r="M51" s="457"/>
      <c r="N51" s="457"/>
      <c r="O51" s="457"/>
      <c r="P51" s="458">
        <v>4.5</v>
      </c>
      <c r="Q51" s="458"/>
      <c r="R51" s="458"/>
      <c r="S51" s="458"/>
      <c r="T51" s="301">
        <v>70</v>
      </c>
      <c r="U51" s="301"/>
      <c r="V51" s="301">
        <v>7</v>
      </c>
      <c r="W51" s="301"/>
      <c r="X51" s="301"/>
      <c r="Y51" s="301"/>
      <c r="Z51" s="142" t="s">
        <v>996</v>
      </c>
      <c r="AA51" s="511" t="s">
        <v>1010</v>
      </c>
      <c r="AB51" s="511"/>
      <c r="AC51" s="318">
        <v>315</v>
      </c>
      <c r="AD51" s="319"/>
      <c r="AE51" s="319"/>
      <c r="AF51" s="319"/>
      <c r="AG51" s="512" t="s">
        <v>1012</v>
      </c>
      <c r="AH51" s="513"/>
      <c r="AI51" s="513"/>
      <c r="AJ51" s="513"/>
      <c r="AK51" s="513"/>
      <c r="AL51" s="513"/>
      <c r="AM51" s="513"/>
      <c r="AN51" s="514"/>
      <c r="AO51" s="278" t="s">
        <v>1028</v>
      </c>
      <c r="AP51" s="279"/>
    </row>
    <row r="52" spans="1:42" s="137" customFormat="1" ht="12.75">
      <c r="A52" s="470"/>
      <c r="B52" s="471"/>
      <c r="C52" s="471"/>
      <c r="D52" s="471"/>
      <c r="E52" s="471"/>
      <c r="F52" s="471"/>
      <c r="G52" s="471"/>
      <c r="H52" s="471"/>
      <c r="I52" s="471"/>
      <c r="J52" s="471"/>
      <c r="K52" s="471"/>
      <c r="L52" s="471"/>
      <c r="M52" s="471"/>
      <c r="N52" s="471"/>
      <c r="O52" s="471"/>
      <c r="P52" s="326"/>
      <c r="Q52" s="326"/>
      <c r="R52" s="326"/>
      <c r="S52" s="326"/>
      <c r="T52" s="264" t="str">
        <f t="shared" ref="T52:T61" si="0">IF(A52="","",V52*AK$18)</f>
        <v/>
      </c>
      <c r="U52" s="264"/>
      <c r="V52" s="325"/>
      <c r="W52" s="325"/>
      <c r="X52" s="325"/>
      <c r="Y52" s="325"/>
      <c r="Z52" s="143" t="s">
        <v>996</v>
      </c>
      <c r="AA52" s="290" t="s">
        <v>1141</v>
      </c>
      <c r="AB52" s="290"/>
      <c r="AC52" s="312" t="str">
        <f ca="1">IF('Tour Budget'!L34=0,"",'Tour Budget'!L34)</f>
        <v/>
      </c>
      <c r="AD52" s="313"/>
      <c r="AE52" s="313"/>
      <c r="AF52" s="313"/>
      <c r="AG52" s="285" t="s">
        <v>942</v>
      </c>
      <c r="AH52" s="286"/>
      <c r="AI52" s="286"/>
      <c r="AJ52" s="286"/>
      <c r="AK52" s="286"/>
      <c r="AL52" s="286"/>
      <c r="AM52" s="286"/>
      <c r="AN52" s="287"/>
      <c r="AO52" s="260" t="b">
        <v>0</v>
      </c>
      <c r="AP52" s="261"/>
    </row>
    <row r="53" spans="1:42" s="137" customFormat="1" ht="12.75">
      <c r="A53" s="307"/>
      <c r="B53" s="308"/>
      <c r="C53" s="308"/>
      <c r="D53" s="308"/>
      <c r="E53" s="308"/>
      <c r="F53" s="308"/>
      <c r="G53" s="308"/>
      <c r="H53" s="308"/>
      <c r="I53" s="308"/>
      <c r="J53" s="308"/>
      <c r="K53" s="308"/>
      <c r="L53" s="308"/>
      <c r="M53" s="308"/>
      <c r="N53" s="308"/>
      <c r="O53" s="308"/>
      <c r="P53" s="262"/>
      <c r="Q53" s="262"/>
      <c r="R53" s="262"/>
      <c r="S53" s="262"/>
      <c r="T53" s="264" t="str">
        <f t="shared" si="0"/>
        <v/>
      </c>
      <c r="U53" s="264"/>
      <c r="V53" s="263"/>
      <c r="W53" s="263"/>
      <c r="X53" s="263"/>
      <c r="Y53" s="263"/>
      <c r="Z53" s="143" t="s">
        <v>996</v>
      </c>
      <c r="AA53" s="290" t="s">
        <v>1010</v>
      </c>
      <c r="AB53" s="290"/>
      <c r="AC53" s="274" t="str">
        <f>IF('Tour Budget'!L35=0,"",'Tour Budget'!L35)</f>
        <v/>
      </c>
      <c r="AD53" s="275"/>
      <c r="AE53" s="275"/>
      <c r="AF53" s="275"/>
      <c r="AG53" s="282"/>
      <c r="AH53" s="283"/>
      <c r="AI53" s="283"/>
      <c r="AJ53" s="283"/>
      <c r="AK53" s="283"/>
      <c r="AL53" s="283"/>
      <c r="AM53" s="283"/>
      <c r="AN53" s="284"/>
      <c r="AO53" s="260" t="b">
        <v>0</v>
      </c>
      <c r="AP53" s="261"/>
    </row>
    <row r="54" spans="1:42" s="137" customFormat="1" ht="12.75">
      <c r="A54" s="307"/>
      <c r="B54" s="308"/>
      <c r="C54" s="308"/>
      <c r="D54" s="308"/>
      <c r="E54" s="308"/>
      <c r="F54" s="308"/>
      <c r="G54" s="308"/>
      <c r="H54" s="308"/>
      <c r="I54" s="308"/>
      <c r="J54" s="308"/>
      <c r="K54" s="308"/>
      <c r="L54" s="308"/>
      <c r="M54" s="308"/>
      <c r="N54" s="308"/>
      <c r="O54" s="308"/>
      <c r="P54" s="262"/>
      <c r="Q54" s="262"/>
      <c r="R54" s="262"/>
      <c r="S54" s="262"/>
      <c r="T54" s="264" t="str">
        <f t="shared" si="0"/>
        <v/>
      </c>
      <c r="U54" s="264"/>
      <c r="V54" s="263"/>
      <c r="W54" s="263"/>
      <c r="X54" s="263"/>
      <c r="Y54" s="263"/>
      <c r="Z54" s="143" t="s">
        <v>996</v>
      </c>
      <c r="AA54" s="290" t="s">
        <v>1010</v>
      </c>
      <c r="AB54" s="290"/>
      <c r="AC54" s="274" t="str">
        <f>IF('Tour Budget'!L36=0,"",'Tour Budget'!L36)</f>
        <v/>
      </c>
      <c r="AD54" s="275"/>
      <c r="AE54" s="275"/>
      <c r="AF54" s="275"/>
      <c r="AG54" s="271"/>
      <c r="AH54" s="272"/>
      <c r="AI54" s="272"/>
      <c r="AJ54" s="272"/>
      <c r="AK54" s="272"/>
      <c r="AL54" s="272"/>
      <c r="AM54" s="272"/>
      <c r="AN54" s="273"/>
      <c r="AO54" s="260" t="b">
        <v>0</v>
      </c>
      <c r="AP54" s="261"/>
    </row>
    <row r="55" spans="1:42" s="137" customFormat="1" ht="12.75">
      <c r="A55" s="307"/>
      <c r="B55" s="308"/>
      <c r="C55" s="308"/>
      <c r="D55" s="308"/>
      <c r="E55" s="308"/>
      <c r="F55" s="308"/>
      <c r="G55" s="308"/>
      <c r="H55" s="308"/>
      <c r="I55" s="308"/>
      <c r="J55" s="308"/>
      <c r="K55" s="308"/>
      <c r="L55" s="308"/>
      <c r="M55" s="308"/>
      <c r="N55" s="308"/>
      <c r="O55" s="308"/>
      <c r="P55" s="262"/>
      <c r="Q55" s="262"/>
      <c r="R55" s="262"/>
      <c r="S55" s="262"/>
      <c r="T55" s="264" t="str">
        <f t="shared" si="0"/>
        <v/>
      </c>
      <c r="U55" s="264"/>
      <c r="V55" s="263"/>
      <c r="W55" s="263"/>
      <c r="X55" s="263"/>
      <c r="Y55" s="263"/>
      <c r="Z55" s="143" t="s">
        <v>996</v>
      </c>
      <c r="AA55" s="290" t="s">
        <v>1010</v>
      </c>
      <c r="AB55" s="290"/>
      <c r="AC55" s="274" t="str">
        <f>IF('Tour Budget'!L37=0,"",'Tour Budget'!L37)</f>
        <v/>
      </c>
      <c r="AD55" s="275"/>
      <c r="AE55" s="275"/>
      <c r="AF55" s="275"/>
      <c r="AG55" s="271"/>
      <c r="AH55" s="272"/>
      <c r="AI55" s="272"/>
      <c r="AJ55" s="272"/>
      <c r="AK55" s="272"/>
      <c r="AL55" s="272"/>
      <c r="AM55" s="272"/>
      <c r="AN55" s="273"/>
      <c r="AO55" s="260" t="b">
        <v>0</v>
      </c>
      <c r="AP55" s="261"/>
    </row>
    <row r="56" spans="1:42" s="137" customFormat="1" ht="12.75">
      <c r="A56" s="307"/>
      <c r="B56" s="308"/>
      <c r="C56" s="308"/>
      <c r="D56" s="308"/>
      <c r="E56" s="308"/>
      <c r="F56" s="308"/>
      <c r="G56" s="308"/>
      <c r="H56" s="308"/>
      <c r="I56" s="308"/>
      <c r="J56" s="308"/>
      <c r="K56" s="308"/>
      <c r="L56" s="308"/>
      <c r="M56" s="308"/>
      <c r="N56" s="308"/>
      <c r="O56" s="308"/>
      <c r="P56" s="262"/>
      <c r="Q56" s="262"/>
      <c r="R56" s="262"/>
      <c r="S56" s="262"/>
      <c r="T56" s="264" t="str">
        <f t="shared" si="0"/>
        <v/>
      </c>
      <c r="U56" s="264"/>
      <c r="V56" s="263"/>
      <c r="W56" s="263"/>
      <c r="X56" s="263"/>
      <c r="Y56" s="263"/>
      <c r="Z56" s="143" t="s">
        <v>996</v>
      </c>
      <c r="AA56" s="290" t="s">
        <v>1010</v>
      </c>
      <c r="AB56" s="290"/>
      <c r="AC56" s="274" t="str">
        <f>IF('Tour Budget'!L38=0,"",'Tour Budget'!L38)</f>
        <v/>
      </c>
      <c r="AD56" s="275"/>
      <c r="AE56" s="275"/>
      <c r="AF56" s="275"/>
      <c r="AG56" s="271"/>
      <c r="AH56" s="272"/>
      <c r="AI56" s="272"/>
      <c r="AJ56" s="272"/>
      <c r="AK56" s="272"/>
      <c r="AL56" s="272"/>
      <c r="AM56" s="272"/>
      <c r="AN56" s="273"/>
      <c r="AO56" s="260" t="b">
        <v>0</v>
      </c>
      <c r="AP56" s="261"/>
    </row>
    <row r="57" spans="1:42" s="137" customFormat="1" ht="12.75">
      <c r="A57" s="307"/>
      <c r="B57" s="308"/>
      <c r="C57" s="308"/>
      <c r="D57" s="308"/>
      <c r="E57" s="308"/>
      <c r="F57" s="308"/>
      <c r="G57" s="308"/>
      <c r="H57" s="308"/>
      <c r="I57" s="308"/>
      <c r="J57" s="308"/>
      <c r="K57" s="308"/>
      <c r="L57" s="308"/>
      <c r="M57" s="308"/>
      <c r="N57" s="308"/>
      <c r="O57" s="308"/>
      <c r="P57" s="262"/>
      <c r="Q57" s="262"/>
      <c r="R57" s="262"/>
      <c r="S57" s="262"/>
      <c r="T57" s="264" t="str">
        <f t="shared" si="0"/>
        <v/>
      </c>
      <c r="U57" s="264"/>
      <c r="V57" s="263"/>
      <c r="W57" s="263"/>
      <c r="X57" s="263"/>
      <c r="Y57" s="263"/>
      <c r="Z57" s="143" t="s">
        <v>996</v>
      </c>
      <c r="AA57" s="290" t="s">
        <v>1010</v>
      </c>
      <c r="AB57" s="290"/>
      <c r="AC57" s="274" t="str">
        <f>IF('Tour Budget'!L39=0,"",'Tour Budget'!L39)</f>
        <v/>
      </c>
      <c r="AD57" s="275"/>
      <c r="AE57" s="275"/>
      <c r="AF57" s="275"/>
      <c r="AG57" s="271"/>
      <c r="AH57" s="272"/>
      <c r="AI57" s="272"/>
      <c r="AJ57" s="272"/>
      <c r="AK57" s="272"/>
      <c r="AL57" s="272"/>
      <c r="AM57" s="272"/>
      <c r="AN57" s="273"/>
      <c r="AO57" s="260" t="b">
        <v>0</v>
      </c>
      <c r="AP57" s="261"/>
    </row>
    <row r="58" spans="1:42" s="137" customFormat="1" ht="12.75">
      <c r="A58" s="307"/>
      <c r="B58" s="308"/>
      <c r="C58" s="308"/>
      <c r="D58" s="308"/>
      <c r="E58" s="308"/>
      <c r="F58" s="308"/>
      <c r="G58" s="308"/>
      <c r="H58" s="308"/>
      <c r="I58" s="308"/>
      <c r="J58" s="308"/>
      <c r="K58" s="308"/>
      <c r="L58" s="308"/>
      <c r="M58" s="308"/>
      <c r="N58" s="308"/>
      <c r="O58" s="308"/>
      <c r="P58" s="262"/>
      <c r="Q58" s="262"/>
      <c r="R58" s="262"/>
      <c r="S58" s="262"/>
      <c r="T58" s="264" t="str">
        <f t="shared" si="0"/>
        <v/>
      </c>
      <c r="U58" s="264"/>
      <c r="V58" s="263"/>
      <c r="W58" s="263"/>
      <c r="X58" s="263"/>
      <c r="Y58" s="263"/>
      <c r="Z58" s="143" t="s">
        <v>996</v>
      </c>
      <c r="AA58" s="290" t="s">
        <v>1010</v>
      </c>
      <c r="AB58" s="290"/>
      <c r="AC58" s="274" t="str">
        <f>IF('Tour Budget'!L40=0,"",'Tour Budget'!L40)</f>
        <v/>
      </c>
      <c r="AD58" s="275"/>
      <c r="AE58" s="275"/>
      <c r="AF58" s="275"/>
      <c r="AG58" s="271"/>
      <c r="AH58" s="272"/>
      <c r="AI58" s="272"/>
      <c r="AJ58" s="272"/>
      <c r="AK58" s="272"/>
      <c r="AL58" s="272"/>
      <c r="AM58" s="272"/>
      <c r="AN58" s="273"/>
      <c r="AO58" s="260" t="b">
        <v>0</v>
      </c>
      <c r="AP58" s="261"/>
    </row>
    <row r="59" spans="1:42" s="137" customFormat="1" ht="12.75">
      <c r="A59" s="307"/>
      <c r="B59" s="308"/>
      <c r="C59" s="308"/>
      <c r="D59" s="308"/>
      <c r="E59" s="308"/>
      <c r="F59" s="308"/>
      <c r="G59" s="308"/>
      <c r="H59" s="308"/>
      <c r="I59" s="308"/>
      <c r="J59" s="308"/>
      <c r="K59" s="308"/>
      <c r="L59" s="308"/>
      <c r="M59" s="308"/>
      <c r="N59" s="308"/>
      <c r="O59" s="308"/>
      <c r="P59" s="262"/>
      <c r="Q59" s="262"/>
      <c r="R59" s="262"/>
      <c r="S59" s="262"/>
      <c r="T59" s="264" t="str">
        <f t="shared" si="0"/>
        <v/>
      </c>
      <c r="U59" s="264"/>
      <c r="V59" s="263"/>
      <c r="W59" s="263"/>
      <c r="X59" s="263"/>
      <c r="Y59" s="263"/>
      <c r="Z59" s="143" t="s">
        <v>996</v>
      </c>
      <c r="AA59" s="290" t="s">
        <v>1010</v>
      </c>
      <c r="AB59" s="290"/>
      <c r="AC59" s="274" t="str">
        <f>IF('Tour Budget'!L41=0,"",'Tour Budget'!L41)</f>
        <v/>
      </c>
      <c r="AD59" s="275"/>
      <c r="AE59" s="275"/>
      <c r="AF59" s="275"/>
      <c r="AG59" s="271"/>
      <c r="AH59" s="272"/>
      <c r="AI59" s="272"/>
      <c r="AJ59" s="272"/>
      <c r="AK59" s="272"/>
      <c r="AL59" s="272"/>
      <c r="AM59" s="272"/>
      <c r="AN59" s="273"/>
      <c r="AO59" s="260" t="b">
        <v>0</v>
      </c>
      <c r="AP59" s="261"/>
    </row>
    <row r="60" spans="1:42" s="137" customFormat="1" ht="12.75">
      <c r="A60" s="307"/>
      <c r="B60" s="308"/>
      <c r="C60" s="308"/>
      <c r="D60" s="308"/>
      <c r="E60" s="308"/>
      <c r="F60" s="308"/>
      <c r="G60" s="308"/>
      <c r="H60" s="308"/>
      <c r="I60" s="308"/>
      <c r="J60" s="308"/>
      <c r="K60" s="308"/>
      <c r="L60" s="308"/>
      <c r="M60" s="308"/>
      <c r="N60" s="308"/>
      <c r="O60" s="308"/>
      <c r="P60" s="262"/>
      <c r="Q60" s="262"/>
      <c r="R60" s="262"/>
      <c r="S60" s="262"/>
      <c r="T60" s="264" t="str">
        <f t="shared" si="0"/>
        <v/>
      </c>
      <c r="U60" s="264"/>
      <c r="V60" s="263"/>
      <c r="W60" s="263"/>
      <c r="X60" s="263"/>
      <c r="Y60" s="263"/>
      <c r="Z60" s="143" t="s">
        <v>996</v>
      </c>
      <c r="AA60" s="290" t="s">
        <v>1010</v>
      </c>
      <c r="AB60" s="290"/>
      <c r="AC60" s="274" t="str">
        <f>IF('Tour Budget'!L42=0,"",'Tour Budget'!L42)</f>
        <v/>
      </c>
      <c r="AD60" s="275"/>
      <c r="AE60" s="275"/>
      <c r="AF60" s="275"/>
      <c r="AG60" s="271"/>
      <c r="AH60" s="272"/>
      <c r="AI60" s="272"/>
      <c r="AJ60" s="272"/>
      <c r="AK60" s="272"/>
      <c r="AL60" s="272"/>
      <c r="AM60" s="272"/>
      <c r="AN60" s="273"/>
      <c r="AO60" s="260" t="b">
        <v>0</v>
      </c>
      <c r="AP60" s="261"/>
    </row>
    <row r="61" spans="1:42" s="137" customFormat="1" ht="13.5" thickBot="1">
      <c r="A61" s="506"/>
      <c r="B61" s="507"/>
      <c r="C61" s="507"/>
      <c r="D61" s="507"/>
      <c r="E61" s="507"/>
      <c r="F61" s="507"/>
      <c r="G61" s="507"/>
      <c r="H61" s="507"/>
      <c r="I61" s="507"/>
      <c r="J61" s="507"/>
      <c r="K61" s="507"/>
      <c r="L61" s="507"/>
      <c r="M61" s="507"/>
      <c r="N61" s="507"/>
      <c r="O61" s="507"/>
      <c r="P61" s="309"/>
      <c r="Q61" s="309"/>
      <c r="R61" s="309"/>
      <c r="S61" s="309"/>
      <c r="T61" s="266" t="str">
        <f t="shared" si="0"/>
        <v/>
      </c>
      <c r="U61" s="266"/>
      <c r="V61" s="267"/>
      <c r="W61" s="267"/>
      <c r="X61" s="267"/>
      <c r="Y61" s="267"/>
      <c r="Z61" s="144" t="s">
        <v>996</v>
      </c>
      <c r="AA61" s="509" t="s">
        <v>1010</v>
      </c>
      <c r="AB61" s="510"/>
      <c r="AC61" s="520" t="str">
        <f>IF('Tour Budget'!L43=0,"",'Tour Budget'!L43)</f>
        <v/>
      </c>
      <c r="AD61" s="319"/>
      <c r="AE61" s="319"/>
      <c r="AF61" s="319"/>
      <c r="AG61" s="268"/>
      <c r="AH61" s="269"/>
      <c r="AI61" s="269"/>
      <c r="AJ61" s="269"/>
      <c r="AK61" s="269"/>
      <c r="AL61" s="269"/>
      <c r="AM61" s="269"/>
      <c r="AN61" s="270"/>
      <c r="AO61" s="260" t="b">
        <v>0</v>
      </c>
      <c r="AP61" s="261"/>
    </row>
    <row r="62" spans="1:42" ht="6.95" customHeight="1"/>
    <row r="63" spans="1:42" ht="16.5" thickBot="1">
      <c r="A63" s="131" t="s">
        <v>326</v>
      </c>
    </row>
    <row r="64" spans="1:42">
      <c r="A64" s="315" t="s">
        <v>337</v>
      </c>
      <c r="B64" s="316"/>
      <c r="C64" s="316"/>
      <c r="D64" s="316"/>
      <c r="E64" s="316"/>
      <c r="F64" s="316"/>
      <c r="G64" s="316"/>
      <c r="H64" s="316"/>
      <c r="I64" s="316"/>
      <c r="J64" s="316"/>
      <c r="K64" s="316"/>
      <c r="L64" s="316"/>
      <c r="M64" s="316"/>
      <c r="N64" s="316"/>
      <c r="O64" s="316"/>
      <c r="P64" s="316"/>
      <c r="Q64" s="316"/>
      <c r="R64" s="316"/>
      <c r="S64" s="316"/>
      <c r="T64" s="314" t="s">
        <v>320</v>
      </c>
      <c r="U64" s="365"/>
      <c r="V64" s="365"/>
      <c r="W64" s="365"/>
      <c r="X64" s="314" t="s">
        <v>298</v>
      </c>
      <c r="Y64" s="365"/>
      <c r="Z64" s="348" t="s">
        <v>318</v>
      </c>
      <c r="AA64" s="349"/>
      <c r="AB64" s="350"/>
      <c r="AC64" s="314" t="s">
        <v>311</v>
      </c>
      <c r="AD64" s="314"/>
      <c r="AE64" s="314"/>
      <c r="AF64" s="314"/>
      <c r="AG64" s="314" t="s">
        <v>1005</v>
      </c>
      <c r="AH64" s="314"/>
      <c r="AI64" s="314"/>
      <c r="AJ64" s="314"/>
      <c r="AK64" s="314"/>
      <c r="AL64" s="314"/>
      <c r="AM64" s="314"/>
      <c r="AN64" s="364"/>
    </row>
    <row r="65" spans="1:40" s="133" customFormat="1" ht="12" customHeight="1" thickBot="1">
      <c r="A65" s="362" t="s">
        <v>381</v>
      </c>
      <c r="B65" s="363"/>
      <c r="C65" s="363"/>
      <c r="D65" s="363"/>
      <c r="E65" s="363"/>
      <c r="F65" s="363"/>
      <c r="G65" s="363"/>
      <c r="H65" s="363"/>
      <c r="I65" s="363"/>
      <c r="J65" s="363"/>
      <c r="K65" s="363"/>
      <c r="L65" s="363"/>
      <c r="M65" s="363"/>
      <c r="N65" s="363"/>
      <c r="O65" s="363"/>
      <c r="P65" s="363"/>
      <c r="Q65" s="363"/>
      <c r="R65" s="363"/>
      <c r="S65" s="363"/>
      <c r="T65" s="458">
        <v>1250</v>
      </c>
      <c r="U65" s="459"/>
      <c r="V65" s="459"/>
      <c r="W65" s="459"/>
      <c r="X65" s="301">
        <v>1</v>
      </c>
      <c r="Y65" s="459"/>
      <c r="Z65" s="145" t="s">
        <v>323</v>
      </c>
      <c r="AA65" s="354" t="s">
        <v>997</v>
      </c>
      <c r="AB65" s="355"/>
      <c r="AC65" s="318">
        <f>T65*X65</f>
        <v>1250</v>
      </c>
      <c r="AD65" s="318"/>
      <c r="AE65" s="318"/>
      <c r="AF65" s="318"/>
      <c r="AG65" s="301" t="s">
        <v>961</v>
      </c>
      <c r="AH65" s="301"/>
      <c r="AI65" s="301"/>
      <c r="AJ65" s="301"/>
      <c r="AK65" s="301"/>
      <c r="AL65" s="301"/>
      <c r="AM65" s="301"/>
      <c r="AN65" s="302"/>
    </row>
    <row r="66" spans="1:40">
      <c r="A66" s="501"/>
      <c r="B66" s="502"/>
      <c r="C66" s="502"/>
      <c r="D66" s="502"/>
      <c r="E66" s="502"/>
      <c r="F66" s="502"/>
      <c r="G66" s="502"/>
      <c r="H66" s="502"/>
      <c r="I66" s="502"/>
      <c r="J66" s="502"/>
      <c r="K66" s="502"/>
      <c r="L66" s="502"/>
      <c r="M66" s="502"/>
      <c r="N66" s="502"/>
      <c r="O66" s="502"/>
      <c r="P66" s="502"/>
      <c r="Q66" s="502"/>
      <c r="R66" s="502"/>
      <c r="S66" s="502"/>
      <c r="T66" s="500"/>
      <c r="U66" s="500"/>
      <c r="V66" s="500"/>
      <c r="W66" s="299"/>
      <c r="X66" s="521"/>
      <c r="Y66" s="521"/>
      <c r="Z66" s="146" t="s">
        <v>322</v>
      </c>
      <c r="AA66" s="329" t="s">
        <v>1141</v>
      </c>
      <c r="AB66" s="330"/>
      <c r="AC66" s="353" t="str">
        <f ca="1">IF('Tour Budget'!L51=0,"",'Tour Budget'!L51)</f>
        <v/>
      </c>
      <c r="AD66" s="353"/>
      <c r="AE66" s="353"/>
      <c r="AF66" s="353"/>
      <c r="AG66" s="299"/>
      <c r="AH66" s="299"/>
      <c r="AI66" s="299"/>
      <c r="AJ66" s="299"/>
      <c r="AK66" s="299"/>
      <c r="AL66" s="299"/>
      <c r="AM66" s="299"/>
      <c r="AN66" s="300"/>
    </row>
    <row r="67" spans="1:40">
      <c r="A67" s="491"/>
      <c r="B67" s="487"/>
      <c r="C67" s="487"/>
      <c r="D67" s="487"/>
      <c r="E67" s="487"/>
      <c r="F67" s="487"/>
      <c r="G67" s="487"/>
      <c r="H67" s="487"/>
      <c r="I67" s="487"/>
      <c r="J67" s="487"/>
      <c r="K67" s="487"/>
      <c r="L67" s="487"/>
      <c r="M67" s="487"/>
      <c r="N67" s="487"/>
      <c r="O67" s="487"/>
      <c r="P67" s="487"/>
      <c r="Q67" s="487"/>
      <c r="R67" s="487"/>
      <c r="S67" s="487"/>
      <c r="T67" s="361"/>
      <c r="U67" s="361"/>
      <c r="V67" s="361"/>
      <c r="W67" s="280"/>
      <c r="X67" s="516"/>
      <c r="Y67" s="516"/>
      <c r="Z67" s="146" t="s">
        <v>322</v>
      </c>
      <c r="AA67" s="329" t="s">
        <v>1141</v>
      </c>
      <c r="AB67" s="330"/>
      <c r="AC67" s="328" t="str">
        <f ca="1">IF('Tour Budget'!L52=0,"",'Tour Budget'!L52)</f>
        <v/>
      </c>
      <c r="AD67" s="328"/>
      <c r="AE67" s="328"/>
      <c r="AF67" s="328"/>
      <c r="AG67" s="280"/>
      <c r="AH67" s="280"/>
      <c r="AI67" s="280"/>
      <c r="AJ67" s="280"/>
      <c r="AK67" s="280"/>
      <c r="AL67" s="280"/>
      <c r="AM67" s="280"/>
      <c r="AN67" s="281"/>
    </row>
    <row r="68" spans="1:40">
      <c r="A68" s="491"/>
      <c r="B68" s="487"/>
      <c r="C68" s="487"/>
      <c r="D68" s="487"/>
      <c r="E68" s="487"/>
      <c r="F68" s="487"/>
      <c r="G68" s="487"/>
      <c r="H68" s="487"/>
      <c r="I68" s="487"/>
      <c r="J68" s="487"/>
      <c r="K68" s="487"/>
      <c r="L68" s="487"/>
      <c r="M68" s="487"/>
      <c r="N68" s="487"/>
      <c r="O68" s="487"/>
      <c r="P68" s="487"/>
      <c r="Q68" s="487"/>
      <c r="R68" s="487"/>
      <c r="S68" s="487"/>
      <c r="T68" s="361"/>
      <c r="U68" s="361"/>
      <c r="V68" s="361"/>
      <c r="W68" s="280"/>
      <c r="X68" s="516"/>
      <c r="Y68" s="516"/>
      <c r="Z68" s="146" t="s">
        <v>322</v>
      </c>
      <c r="AA68" s="329" t="s">
        <v>1141</v>
      </c>
      <c r="AB68" s="330"/>
      <c r="AC68" s="328" t="str">
        <f ca="1">IF('Tour Budget'!L53=0,"",'Tour Budget'!L53)</f>
        <v/>
      </c>
      <c r="AD68" s="328"/>
      <c r="AE68" s="328"/>
      <c r="AF68" s="328"/>
      <c r="AG68" s="280"/>
      <c r="AH68" s="280"/>
      <c r="AI68" s="280"/>
      <c r="AJ68" s="280"/>
      <c r="AK68" s="280"/>
      <c r="AL68" s="280"/>
      <c r="AM68" s="280"/>
      <c r="AN68" s="281"/>
    </row>
    <row r="69" spans="1:40" ht="15" customHeight="1">
      <c r="A69" s="491"/>
      <c r="B69" s="487"/>
      <c r="C69" s="487"/>
      <c r="D69" s="487"/>
      <c r="E69" s="487"/>
      <c r="F69" s="487"/>
      <c r="G69" s="487"/>
      <c r="H69" s="487"/>
      <c r="I69" s="487"/>
      <c r="J69" s="487"/>
      <c r="K69" s="487"/>
      <c r="L69" s="487"/>
      <c r="M69" s="487"/>
      <c r="N69" s="487"/>
      <c r="O69" s="487"/>
      <c r="P69" s="487"/>
      <c r="Q69" s="487"/>
      <c r="R69" s="487"/>
      <c r="S69" s="487"/>
      <c r="T69" s="361"/>
      <c r="U69" s="361"/>
      <c r="V69" s="361"/>
      <c r="W69" s="280"/>
      <c r="X69" s="516"/>
      <c r="Y69" s="516"/>
      <c r="Z69" s="146" t="s">
        <v>322</v>
      </c>
      <c r="AA69" s="329" t="s">
        <v>1141</v>
      </c>
      <c r="AB69" s="330"/>
      <c r="AC69" s="328" t="str">
        <f ca="1">IF('Tour Budget'!L54=0,"",'Tour Budget'!L54)</f>
        <v/>
      </c>
      <c r="AD69" s="328"/>
      <c r="AE69" s="328"/>
      <c r="AF69" s="328"/>
      <c r="AG69" s="280"/>
      <c r="AH69" s="280"/>
      <c r="AI69" s="280"/>
      <c r="AJ69" s="280"/>
      <c r="AK69" s="280"/>
      <c r="AL69" s="280"/>
      <c r="AM69" s="280"/>
      <c r="AN69" s="281"/>
    </row>
    <row r="70" spans="1:40" ht="15" customHeight="1" thickBot="1">
      <c r="A70" s="493"/>
      <c r="B70" s="494"/>
      <c r="C70" s="494"/>
      <c r="D70" s="494"/>
      <c r="E70" s="494"/>
      <c r="F70" s="494"/>
      <c r="G70" s="494"/>
      <c r="H70" s="494"/>
      <c r="I70" s="494"/>
      <c r="J70" s="494"/>
      <c r="K70" s="494"/>
      <c r="L70" s="494"/>
      <c r="M70" s="494"/>
      <c r="N70" s="494"/>
      <c r="O70" s="494"/>
      <c r="P70" s="494"/>
      <c r="Q70" s="494"/>
      <c r="R70" s="494"/>
      <c r="S70" s="494"/>
      <c r="T70" s="377"/>
      <c r="U70" s="377"/>
      <c r="V70" s="377"/>
      <c r="W70" s="297"/>
      <c r="X70" s="515"/>
      <c r="Y70" s="515"/>
      <c r="Z70" s="147" t="s">
        <v>322</v>
      </c>
      <c r="AA70" s="276" t="s">
        <v>1141</v>
      </c>
      <c r="AB70" s="277"/>
      <c r="AC70" s="331" t="str">
        <f ca="1">IF('Tour Budget'!L55=0,"",'Tour Budget'!L55)</f>
        <v/>
      </c>
      <c r="AD70" s="331"/>
      <c r="AE70" s="331"/>
      <c r="AF70" s="331"/>
      <c r="AG70" s="297"/>
      <c r="AH70" s="297"/>
      <c r="AI70" s="297"/>
      <c r="AJ70" s="297"/>
      <c r="AK70" s="297"/>
      <c r="AL70" s="297"/>
      <c r="AM70" s="297"/>
      <c r="AN70" s="298"/>
    </row>
    <row r="71" spans="1:40" ht="15" customHeight="1" thickBot="1"/>
    <row r="72" spans="1:40" ht="15" customHeight="1">
      <c r="A72" s="315" t="s">
        <v>338</v>
      </c>
      <c r="B72" s="316"/>
      <c r="C72" s="316"/>
      <c r="D72" s="316"/>
      <c r="E72" s="316"/>
      <c r="F72" s="316"/>
      <c r="G72" s="316"/>
      <c r="H72" s="316"/>
      <c r="I72" s="316"/>
      <c r="J72" s="316"/>
      <c r="K72" s="316"/>
      <c r="L72" s="316"/>
      <c r="M72" s="316"/>
      <c r="N72" s="316"/>
      <c r="O72" s="316"/>
      <c r="P72" s="314" t="s">
        <v>320</v>
      </c>
      <c r="Q72" s="365"/>
      <c r="R72" s="365"/>
      <c r="S72" s="365"/>
      <c r="T72" s="314" t="s">
        <v>298</v>
      </c>
      <c r="U72" s="314"/>
      <c r="V72" s="314" t="s">
        <v>321</v>
      </c>
      <c r="W72" s="365"/>
      <c r="X72" s="365"/>
      <c r="Y72" s="365"/>
      <c r="Z72" s="314" t="s">
        <v>1016</v>
      </c>
      <c r="AA72" s="314"/>
      <c r="AB72" s="314"/>
      <c r="AC72" s="314" t="s">
        <v>311</v>
      </c>
      <c r="AD72" s="314"/>
      <c r="AE72" s="314"/>
      <c r="AF72" s="314"/>
      <c r="AG72" s="348" t="s">
        <v>1005</v>
      </c>
      <c r="AH72" s="541"/>
      <c r="AI72" s="541"/>
      <c r="AJ72" s="541"/>
      <c r="AK72" s="541"/>
      <c r="AL72" s="541"/>
      <c r="AM72" s="541"/>
      <c r="AN72" s="542"/>
    </row>
    <row r="73" spans="1:40" s="133" customFormat="1" ht="15" customHeight="1" thickBot="1">
      <c r="A73" s="362" t="s">
        <v>1018</v>
      </c>
      <c r="B73" s="363"/>
      <c r="C73" s="363"/>
      <c r="D73" s="363"/>
      <c r="E73" s="363"/>
      <c r="F73" s="363"/>
      <c r="G73" s="363"/>
      <c r="H73" s="363"/>
      <c r="I73" s="363"/>
      <c r="J73" s="363"/>
      <c r="K73" s="363"/>
      <c r="L73" s="363"/>
      <c r="M73" s="363"/>
      <c r="N73" s="363"/>
      <c r="O73" s="363"/>
      <c r="P73" s="458">
        <v>3</v>
      </c>
      <c r="Q73" s="459"/>
      <c r="R73" s="459"/>
      <c r="S73" s="459"/>
      <c r="T73" s="301">
        <v>62</v>
      </c>
      <c r="U73" s="526"/>
      <c r="V73" s="301">
        <v>2</v>
      </c>
      <c r="W73" s="459"/>
      <c r="X73" s="459"/>
      <c r="Y73" s="459"/>
      <c r="Z73" s="132" t="s">
        <v>322</v>
      </c>
      <c r="AA73" s="301" t="s">
        <v>997</v>
      </c>
      <c r="AB73" s="301"/>
      <c r="AC73" s="318">
        <f>P73*T73</f>
        <v>186</v>
      </c>
      <c r="AD73" s="318"/>
      <c r="AE73" s="318"/>
      <c r="AF73" s="318"/>
      <c r="AG73" s="512" t="s">
        <v>943</v>
      </c>
      <c r="AH73" s="513"/>
      <c r="AI73" s="513"/>
      <c r="AJ73" s="513"/>
      <c r="AK73" s="513"/>
      <c r="AL73" s="513"/>
      <c r="AM73" s="513"/>
      <c r="AN73" s="514"/>
    </row>
    <row r="74" spans="1:40" ht="15" customHeight="1">
      <c r="A74" s="529" t="s">
        <v>1014</v>
      </c>
      <c r="B74" s="530"/>
      <c r="C74" s="530"/>
      <c r="D74" s="530"/>
      <c r="E74" s="530"/>
      <c r="F74" s="530"/>
      <c r="G74" s="530"/>
      <c r="H74" s="530"/>
      <c r="I74" s="530"/>
      <c r="J74" s="530"/>
      <c r="K74" s="530"/>
      <c r="L74" s="530"/>
      <c r="M74" s="530"/>
      <c r="N74" s="530"/>
      <c r="O74" s="530"/>
      <c r="P74" s="528">
        <f>R115</f>
        <v>0</v>
      </c>
      <c r="Q74" s="528"/>
      <c r="R74" s="528"/>
      <c r="S74" s="528"/>
      <c r="T74" s="527">
        <f>IF(AK16="",0,AK16)</f>
        <v>30</v>
      </c>
      <c r="U74" s="527"/>
      <c r="V74" s="497">
        <v>1</v>
      </c>
      <c r="W74" s="498"/>
      <c r="X74" s="498"/>
      <c r="Y74" s="498"/>
      <c r="Z74" s="148" t="s">
        <v>322</v>
      </c>
      <c r="AA74" s="299" t="s">
        <v>1141</v>
      </c>
      <c r="AB74" s="299"/>
      <c r="AC74" s="353" t="str">
        <f ca="1">IF('Tour Budget'!L60=0,"",'Tour Budget'!L60)</f>
        <v/>
      </c>
      <c r="AD74" s="353"/>
      <c r="AE74" s="353"/>
      <c r="AF74" s="353"/>
      <c r="AG74" s="545" t="s">
        <v>963</v>
      </c>
      <c r="AH74" s="546"/>
      <c r="AI74" s="546"/>
      <c r="AJ74" s="546"/>
      <c r="AK74" s="546"/>
      <c r="AL74" s="546"/>
      <c r="AM74" s="546"/>
      <c r="AN74" s="547"/>
    </row>
    <row r="75" spans="1:40" ht="15" customHeight="1">
      <c r="A75" s="504" t="s">
        <v>1015</v>
      </c>
      <c r="B75" s="505"/>
      <c r="C75" s="505"/>
      <c r="D75" s="505"/>
      <c r="E75" s="505"/>
      <c r="F75" s="505"/>
      <c r="G75" s="505"/>
      <c r="H75" s="505"/>
      <c r="I75" s="505"/>
      <c r="J75" s="505"/>
      <c r="K75" s="505"/>
      <c r="L75" s="505"/>
      <c r="M75" s="505"/>
      <c r="N75" s="505"/>
      <c r="O75" s="505"/>
      <c r="P75" s="503">
        <f>R116</f>
        <v>0</v>
      </c>
      <c r="Q75" s="503"/>
      <c r="R75" s="503"/>
      <c r="S75" s="503"/>
      <c r="T75" s="527">
        <f>IF(AK17="",0,AK17)</f>
        <v>0</v>
      </c>
      <c r="U75" s="527"/>
      <c r="V75" s="518">
        <v>1</v>
      </c>
      <c r="W75" s="519"/>
      <c r="X75" s="519"/>
      <c r="Y75" s="519"/>
      <c r="Z75" s="148" t="s">
        <v>322</v>
      </c>
      <c r="AA75" s="299" t="s">
        <v>1141</v>
      </c>
      <c r="AB75" s="299"/>
      <c r="AC75" s="353" t="str">
        <f ca="1">IF('Tour Budget'!L61=0,"",'Tour Budget'!L61)</f>
        <v/>
      </c>
      <c r="AD75" s="353"/>
      <c r="AE75" s="353"/>
      <c r="AF75" s="353"/>
      <c r="AG75" s="538" t="s">
        <v>963</v>
      </c>
      <c r="AH75" s="539"/>
      <c r="AI75" s="539"/>
      <c r="AJ75" s="539"/>
      <c r="AK75" s="539"/>
      <c r="AL75" s="539"/>
      <c r="AM75" s="539"/>
      <c r="AN75" s="540"/>
    </row>
    <row r="76" spans="1:40" ht="15" customHeight="1">
      <c r="A76" s="491" t="s">
        <v>1014</v>
      </c>
      <c r="B76" s="487"/>
      <c r="C76" s="487"/>
      <c r="D76" s="487"/>
      <c r="E76" s="487"/>
      <c r="F76" s="487"/>
      <c r="G76" s="487"/>
      <c r="H76" s="487"/>
      <c r="I76" s="487"/>
      <c r="J76" s="487"/>
      <c r="K76" s="487"/>
      <c r="L76" s="487"/>
      <c r="M76" s="487"/>
      <c r="N76" s="487"/>
      <c r="O76" s="487"/>
      <c r="P76" s="361">
        <v>60</v>
      </c>
      <c r="Q76" s="361"/>
      <c r="R76" s="361"/>
      <c r="S76" s="361"/>
      <c r="T76" s="492">
        <f>IF(A76="",0,V76*AK18)</f>
        <v>30</v>
      </c>
      <c r="U76" s="492"/>
      <c r="V76" s="516">
        <v>1</v>
      </c>
      <c r="W76" s="516"/>
      <c r="X76" s="516"/>
      <c r="Y76" s="516"/>
      <c r="Z76" s="148" t="s">
        <v>322</v>
      </c>
      <c r="AA76" s="299" t="s">
        <v>1141</v>
      </c>
      <c r="AB76" s="299"/>
      <c r="AC76" s="353">
        <f ca="1">IF('Tour Budget'!L62=0,"",'Tour Budget'!L62)</f>
        <v>1531.9148936170213</v>
      </c>
      <c r="AD76" s="353"/>
      <c r="AE76" s="353"/>
      <c r="AF76" s="353"/>
      <c r="AG76" s="538" t="s">
        <v>963</v>
      </c>
      <c r="AH76" s="539"/>
      <c r="AI76" s="539"/>
      <c r="AJ76" s="539"/>
      <c r="AK76" s="539"/>
      <c r="AL76" s="539"/>
      <c r="AM76" s="539"/>
      <c r="AN76" s="540"/>
    </row>
    <row r="77" spans="1:40">
      <c r="A77" s="491"/>
      <c r="B77" s="487"/>
      <c r="C77" s="487"/>
      <c r="D77" s="487"/>
      <c r="E77" s="487"/>
      <c r="F77" s="487"/>
      <c r="G77" s="487"/>
      <c r="H77" s="487"/>
      <c r="I77" s="487"/>
      <c r="J77" s="487"/>
      <c r="K77" s="487"/>
      <c r="L77" s="487"/>
      <c r="M77" s="487"/>
      <c r="N77" s="487"/>
      <c r="O77" s="487"/>
      <c r="P77" s="361"/>
      <c r="Q77" s="361"/>
      <c r="R77" s="361"/>
      <c r="S77" s="361"/>
      <c r="T77" s="492">
        <f>IF(A77="",0,V77*AK19)</f>
        <v>0</v>
      </c>
      <c r="U77" s="492"/>
      <c r="V77" s="516"/>
      <c r="W77" s="516"/>
      <c r="X77" s="516"/>
      <c r="Y77" s="516"/>
      <c r="Z77" s="148" t="s">
        <v>322</v>
      </c>
      <c r="AA77" s="299" t="s">
        <v>1141</v>
      </c>
      <c r="AB77" s="299"/>
      <c r="AC77" s="353" t="str">
        <f ca="1">IF('Tour Budget'!L63=0,"",'Tour Budget'!L63)</f>
        <v/>
      </c>
      <c r="AD77" s="353"/>
      <c r="AE77" s="353"/>
      <c r="AF77" s="353"/>
      <c r="AG77" s="538"/>
      <c r="AH77" s="539"/>
      <c r="AI77" s="539"/>
      <c r="AJ77" s="539"/>
      <c r="AK77" s="539"/>
      <c r="AL77" s="539"/>
      <c r="AM77" s="539"/>
      <c r="AN77" s="540"/>
    </row>
    <row r="78" spans="1:40" ht="16.5" thickBot="1">
      <c r="A78" s="493"/>
      <c r="B78" s="494"/>
      <c r="C78" s="494"/>
      <c r="D78" s="494"/>
      <c r="E78" s="494"/>
      <c r="F78" s="494"/>
      <c r="G78" s="494"/>
      <c r="H78" s="494"/>
      <c r="I78" s="494"/>
      <c r="J78" s="494"/>
      <c r="K78" s="494"/>
      <c r="L78" s="494"/>
      <c r="M78" s="494"/>
      <c r="N78" s="494"/>
      <c r="O78" s="494"/>
      <c r="P78" s="377"/>
      <c r="Q78" s="377"/>
      <c r="R78" s="377"/>
      <c r="S78" s="377"/>
      <c r="T78" s="517">
        <f>IF(A78="",0,V78*AK20)</f>
        <v>0</v>
      </c>
      <c r="U78" s="517"/>
      <c r="V78" s="515"/>
      <c r="W78" s="515"/>
      <c r="X78" s="515"/>
      <c r="Y78" s="515"/>
      <c r="Z78" s="149" t="s">
        <v>322</v>
      </c>
      <c r="AA78" s="297" t="s">
        <v>1141</v>
      </c>
      <c r="AB78" s="297"/>
      <c r="AC78" s="499" t="str">
        <f ca="1">IF('Tour Budget'!L64=0,"",'Tour Budget'!L64)</f>
        <v/>
      </c>
      <c r="AD78" s="499"/>
      <c r="AE78" s="499"/>
      <c r="AF78" s="499"/>
      <c r="AG78" s="535"/>
      <c r="AH78" s="536"/>
      <c r="AI78" s="536"/>
      <c r="AJ78" s="536"/>
      <c r="AK78" s="536"/>
      <c r="AL78" s="536"/>
      <c r="AM78" s="536"/>
      <c r="AN78" s="537"/>
    </row>
    <row r="79" spans="1:40" ht="6.95" customHeight="1"/>
    <row r="80" spans="1:40" ht="15" customHeight="1">
      <c r="A80" s="131" t="s">
        <v>382</v>
      </c>
      <c r="AF80" s="150"/>
    </row>
    <row r="81" spans="1:45" ht="106.5" customHeight="1">
      <c r="A81" s="489" t="str">
        <f ca="1">IF(AK16="","",IF(P74=0,"Until CSB tour subsidies are allocated, you must charge your members at least "&amp;TEXT(R88,"£#,##0.00") &amp; ", enter a Student Tour Ticket price in the yellow section below.  If you are allocated a CSB tour subsidy, this ticket price may drop.",IF('Tour Budget'!L47=0,"","Based on the information supplied above this tour is eligible for up to "&amp;TEXT(('Tour Proposal'!AD82+'Tour Proposal'!AD83),"£#,##0.00")&amp;" travel subsidy, which works out at "&amp;TEXT(('Tour Proposal'!Z82+'Tour Proposal'!Z83),"£#,##0.00")&amp;" per student member. This tour will thus cost each ICU student member between " &amp;TEXT(R88-('Tour Proposal'!Z82+'Tour Proposal'!Z83),"£#,##0.00") &amp;" and " &amp;TEXT(R88,"£#,##0.00") &amp;" depending on the amount of travel subsidy received from ICU. This tour will cost non-ICU student member tour participants "&amp;TEXT(R88,"£#,##0.00") &amp;" irrespective of how much tour subsidy is awarded.")))</f>
        <v>Until CSB tour subsidies are allocated, you must charge your members at least £53.82, enter a Student Tour Ticket price in the yellow section below.  If you are allocated a CSB tour subsidy, this ticket price may drop.</v>
      </c>
      <c r="B81" s="489"/>
      <c r="C81" s="489"/>
      <c r="D81" s="489"/>
      <c r="E81" s="489"/>
      <c r="F81" s="489"/>
      <c r="G81" s="489"/>
      <c r="H81" s="489"/>
      <c r="I81" s="489"/>
      <c r="J81" s="489"/>
      <c r="K81" s="489"/>
      <c r="L81" s="489"/>
      <c r="M81" s="489"/>
      <c r="N81" s="489"/>
      <c r="O81" s="489"/>
      <c r="P81" s="489"/>
      <c r="Q81" s="489"/>
      <c r="R81" s="489"/>
      <c r="S81" s="489"/>
      <c r="T81" s="490"/>
      <c r="U81" s="490"/>
      <c r="V81" s="151"/>
      <c r="W81" s="151"/>
      <c r="X81" s="151"/>
      <c r="Y81" s="151"/>
      <c r="Z81" s="151"/>
      <c r="AA81" s="151"/>
      <c r="AB81" s="151"/>
      <c r="AC81" s="151"/>
      <c r="AD81" s="151"/>
      <c r="AE81" s="151"/>
      <c r="AF81" s="151"/>
      <c r="AG81" s="152"/>
      <c r="AH81" s="152"/>
      <c r="AI81" s="152"/>
      <c r="AJ81" s="152"/>
      <c r="AK81" s="152"/>
      <c r="AL81" s="152"/>
      <c r="AM81" s="152"/>
      <c r="AP81" s="265" t="str">
        <f>IF(N111="","The CSB Tour Subsidy has not been entered, the true cost to your members will only be shown once this figure has been entered.","The CSB Tour Subsidy has been entered, the Profit/(Loss) curve and budget now show the true cost to your members.")</f>
        <v>The CSB Tour Subsidy has not been entered, the true cost to your members will only be shown once this figure has been entered.</v>
      </c>
      <c r="AQ81" s="265"/>
      <c r="AR81" s="265"/>
      <c r="AS81" s="153"/>
    </row>
    <row r="82" spans="1:45" ht="17.25" hidden="1" customHeight="1">
      <c r="AP82" s="265"/>
      <c r="AQ82" s="265"/>
      <c r="AR82" s="265"/>
    </row>
    <row r="83" spans="1:45" ht="18.75" hidden="1" customHeight="1">
      <c r="AP83" s="265"/>
      <c r="AQ83" s="265"/>
      <c r="AR83" s="265"/>
    </row>
    <row r="84" spans="1:45" ht="23.25" hidden="1" customHeight="1">
      <c r="AP84" s="265"/>
      <c r="AQ84" s="265"/>
      <c r="AR84" s="265"/>
    </row>
    <row r="85" spans="1:45" ht="23.25" hidden="1" customHeight="1">
      <c r="A85" s="323" t="s">
        <v>1032</v>
      </c>
      <c r="B85" s="323"/>
      <c r="C85" s="323"/>
      <c r="D85" s="323"/>
      <c r="E85" s="323"/>
      <c r="F85" s="324"/>
      <c r="G85" s="320">
        <f ca="1">'Tour Proposal'!AD82+'Tour Proposal'!AD83</f>
        <v>176</v>
      </c>
      <c r="H85" s="321"/>
      <c r="I85" s="321"/>
      <c r="J85" s="322"/>
      <c r="K85" s="101" t="s">
        <v>375</v>
      </c>
      <c r="R85" s="154"/>
      <c r="S85" s="155"/>
      <c r="T85" s="155"/>
      <c r="U85" s="155"/>
      <c r="V85" s="320">
        <f ca="1">'Tour Proposal'!Z82+'Tour Proposal'!Z83</f>
        <v>5.8666666666666663</v>
      </c>
      <c r="W85" s="321"/>
      <c r="X85" s="322"/>
      <c r="Y85" s="101" t="s">
        <v>365</v>
      </c>
      <c r="AE85" s="155"/>
      <c r="AF85" s="101"/>
      <c r="AP85" s="265"/>
      <c r="AQ85" s="265"/>
      <c r="AR85" s="265"/>
    </row>
    <row r="86" spans="1:45" ht="23.25" hidden="1" customHeight="1">
      <c r="A86" s="156" t="s">
        <v>350</v>
      </c>
      <c r="B86" s="101" t="s">
        <v>349</v>
      </c>
      <c r="X86" s="101"/>
      <c r="AC86" s="101"/>
      <c r="AP86" s="265"/>
      <c r="AQ86" s="265"/>
      <c r="AR86" s="265"/>
    </row>
    <row r="87" spans="1:45" ht="24" hidden="1" customHeight="1">
      <c r="A87" s="156"/>
      <c r="C87" s="101" t="s">
        <v>348</v>
      </c>
      <c r="F87" s="320">
        <f ca="1">R88-('Tour Proposal'!Z82+'Tour Proposal'!Z83)</f>
        <v>47.948936170212768</v>
      </c>
      <c r="G87" s="321"/>
      <c r="H87" s="322"/>
      <c r="I87" s="101" t="s">
        <v>346</v>
      </c>
      <c r="K87" s="320">
        <f ca="1">R88</f>
        <v>53.815602836879435</v>
      </c>
      <c r="L87" s="321"/>
      <c r="M87" s="322"/>
      <c r="N87" s="101" t="s">
        <v>351</v>
      </c>
      <c r="P87" s="101"/>
      <c r="Q87" s="101"/>
      <c r="R87" s="101"/>
      <c r="S87" s="101"/>
      <c r="T87" s="101"/>
      <c r="U87" s="101"/>
      <c r="V87" s="101"/>
      <c r="X87" s="101"/>
      <c r="AC87" s="101"/>
      <c r="AP87" s="265"/>
      <c r="AQ87" s="265"/>
      <c r="AR87" s="265"/>
    </row>
    <row r="88" spans="1:45" ht="24" hidden="1" customHeight="1">
      <c r="A88" s="156" t="s">
        <v>350</v>
      </c>
      <c r="B88" s="101" t="s">
        <v>347</v>
      </c>
      <c r="R88" s="320">
        <f ca="1">IF(AK18="","",(('Tour Proposal'!AD81)/'Tour Application Form'!AK18)-(SUM(AC66:AF70)/'Tour Application Form'!AK18))</f>
        <v>53.815602836879435</v>
      </c>
      <c r="S88" s="321"/>
      <c r="T88" s="322"/>
      <c r="AP88" s="265"/>
      <c r="AQ88" s="265"/>
      <c r="AR88" s="265"/>
    </row>
    <row r="89" spans="1:45" ht="32.25" hidden="1" customHeight="1">
      <c r="AP89" s="265"/>
      <c r="AQ89" s="265"/>
      <c r="AR89" s="265"/>
    </row>
    <row r="90" spans="1:45" s="100" customFormat="1" ht="46.5" customHeight="1">
      <c r="A90" s="366" t="s">
        <v>364</v>
      </c>
      <c r="B90" s="366"/>
      <c r="C90" s="366"/>
      <c r="D90" s="366"/>
      <c r="E90" s="366"/>
      <c r="F90" s="366"/>
      <c r="G90" s="366"/>
      <c r="H90" s="366"/>
      <c r="I90" s="366"/>
      <c r="J90" s="366"/>
      <c r="K90" s="366"/>
      <c r="L90" s="366"/>
      <c r="M90" s="366"/>
      <c r="N90" s="366"/>
      <c r="O90" s="366"/>
      <c r="P90" s="366"/>
      <c r="Q90" s="366"/>
      <c r="R90" s="366"/>
      <c r="S90" s="366"/>
      <c r="T90" s="366"/>
      <c r="U90" s="366"/>
      <c r="V90" s="157"/>
      <c r="W90" s="157"/>
      <c r="X90" s="157"/>
      <c r="Y90" s="157"/>
      <c r="Z90" s="157"/>
      <c r="AA90" s="157"/>
      <c r="AB90" s="157"/>
      <c r="AC90" s="157"/>
      <c r="AD90" s="157"/>
      <c r="AE90" s="157"/>
      <c r="AF90" s="157"/>
      <c r="AG90" s="158"/>
      <c r="AH90" s="158"/>
      <c r="AI90" s="158"/>
      <c r="AJ90" s="158"/>
      <c r="AK90" s="158"/>
      <c r="AL90" s="158"/>
      <c r="AM90" s="158"/>
      <c r="AP90" s="265"/>
      <c r="AQ90" s="265"/>
      <c r="AR90" s="265"/>
    </row>
    <row r="91" spans="1:45" ht="57.75" hidden="1" customHeight="1">
      <c r="A91" s="101" t="s">
        <v>379</v>
      </c>
      <c r="L91" s="155"/>
      <c r="M91" s="155"/>
      <c r="N91" s="155"/>
      <c r="O91" s="320">
        <f ca="1">SUM(AC35:AF44)/AK18</f>
        <v>53.815602836879435</v>
      </c>
      <c r="P91" s="495"/>
      <c r="Q91" s="496"/>
      <c r="R91" s="101" t="s">
        <v>345</v>
      </c>
      <c r="S91" s="101"/>
      <c r="T91" s="101"/>
    </row>
    <row r="92" spans="1:45" ht="19.5" customHeight="1">
      <c r="A92" s="523" t="str">
        <f ca="1">IF(A81="","",IF('Tour Budget'!L47=0,"","Your recommended minimum tour deposit charge is "&amp;TEXT(O91,"£#,##0.00") &amp;" per person"))</f>
        <v>Your recommended minimum tour deposit charge is £53.82 per person</v>
      </c>
      <c r="B92" s="523"/>
      <c r="C92" s="523"/>
      <c r="D92" s="523"/>
      <c r="E92" s="523"/>
      <c r="F92" s="523"/>
      <c r="G92" s="523"/>
      <c r="H92" s="523"/>
      <c r="I92" s="523"/>
      <c r="J92" s="523"/>
      <c r="K92" s="523"/>
      <c r="L92" s="523"/>
      <c r="M92" s="523"/>
      <c r="N92" s="523"/>
      <c r="O92" s="523"/>
      <c r="P92" s="523"/>
      <c r="Q92" s="523"/>
      <c r="R92" s="523"/>
      <c r="S92" s="523"/>
      <c r="T92" s="523"/>
      <c r="U92" s="523"/>
      <c r="V92" s="523"/>
      <c r="W92" s="523"/>
      <c r="X92" s="523"/>
      <c r="Y92" s="523"/>
      <c r="Z92" s="523"/>
      <c r="AA92" s="523"/>
      <c r="AB92" s="523"/>
      <c r="AC92" s="523"/>
      <c r="AD92" s="523"/>
      <c r="AE92" s="523"/>
      <c r="AF92" s="523"/>
      <c r="AG92" s="523"/>
      <c r="AH92" s="523"/>
      <c r="AI92" s="523"/>
      <c r="AJ92" s="523"/>
      <c r="AK92" s="523"/>
      <c r="AL92" s="523"/>
      <c r="AM92" s="523"/>
      <c r="AN92" s="523"/>
    </row>
    <row r="93" spans="1:45" ht="55.5" hidden="1" customHeight="1"/>
    <row r="94" spans="1:45" ht="60.75" hidden="1" customHeight="1"/>
    <row r="95" spans="1:45" ht="61.5" hidden="1" customHeight="1"/>
    <row r="96" spans="1:45" ht="70.5" hidden="1" customHeight="1"/>
    <row r="97" spans="1:40" ht="73.5" hidden="1" customHeight="1"/>
    <row r="98" spans="1:40" ht="16.5" thickBot="1">
      <c r="A98" s="101" t="s">
        <v>327</v>
      </c>
    </row>
    <row r="99" spans="1:40">
      <c r="A99" s="315" t="s">
        <v>328</v>
      </c>
      <c r="B99" s="316"/>
      <c r="C99" s="316"/>
      <c r="D99" s="316"/>
      <c r="E99" s="316"/>
      <c r="F99" s="316"/>
      <c r="G99" s="316"/>
      <c r="H99" s="316"/>
      <c r="I99" s="316"/>
      <c r="J99" s="316" t="s">
        <v>331</v>
      </c>
      <c r="K99" s="316"/>
      <c r="L99" s="316"/>
      <c r="M99" s="316"/>
      <c r="N99" s="316"/>
      <c r="O99" s="316"/>
      <c r="P99" s="316"/>
      <c r="Q99" s="316"/>
      <c r="R99" s="316"/>
      <c r="S99" s="316"/>
      <c r="T99" s="316" t="s">
        <v>332</v>
      </c>
      <c r="U99" s="316"/>
      <c r="V99" s="316"/>
      <c r="W99" s="316"/>
      <c r="X99" s="316"/>
      <c r="Y99" s="316"/>
      <c r="Z99" s="316"/>
      <c r="AA99" s="314" t="s">
        <v>333</v>
      </c>
      <c r="AB99" s="314"/>
      <c r="AC99" s="314"/>
      <c r="AD99" s="314"/>
      <c r="AE99" s="314"/>
      <c r="AF99" s="364"/>
    </row>
    <row r="100" spans="1:40">
      <c r="A100" s="544" t="s">
        <v>329</v>
      </c>
      <c r="B100" s="505"/>
      <c r="C100" s="505"/>
      <c r="D100" s="505"/>
      <c r="E100" s="505"/>
      <c r="F100" s="505"/>
      <c r="G100" s="505"/>
      <c r="H100" s="505"/>
      <c r="I100" s="505"/>
      <c r="J100" s="280"/>
      <c r="K100" s="280"/>
      <c r="L100" s="280"/>
      <c r="M100" s="280"/>
      <c r="N100" s="280"/>
      <c r="O100" s="280"/>
      <c r="P100" s="280"/>
      <c r="Q100" s="280"/>
      <c r="R100" s="280"/>
      <c r="S100" s="280"/>
      <c r="T100" s="280"/>
      <c r="U100" s="280"/>
      <c r="V100" s="280"/>
      <c r="W100" s="280"/>
      <c r="X100" s="280"/>
      <c r="Y100" s="280"/>
      <c r="Z100" s="280"/>
      <c r="AA100" s="543"/>
      <c r="AB100" s="543"/>
      <c r="AC100" s="280"/>
      <c r="AD100" s="280"/>
      <c r="AE100" s="487"/>
      <c r="AF100" s="488"/>
    </row>
    <row r="101" spans="1:40" ht="16.5" thickBot="1">
      <c r="A101" s="524" t="s">
        <v>330</v>
      </c>
      <c r="B101" s="363"/>
      <c r="C101" s="363"/>
      <c r="D101" s="363"/>
      <c r="E101" s="363"/>
      <c r="F101" s="363"/>
      <c r="G101" s="363"/>
      <c r="H101" s="363"/>
      <c r="I101" s="363"/>
      <c r="J101" s="332"/>
      <c r="K101" s="332"/>
      <c r="L101" s="332"/>
      <c r="M101" s="332"/>
      <c r="N101" s="332"/>
      <c r="O101" s="332"/>
      <c r="P101" s="332"/>
      <c r="Q101" s="332"/>
      <c r="R101" s="332"/>
      <c r="S101" s="332"/>
      <c r="T101" s="332"/>
      <c r="U101" s="332"/>
      <c r="V101" s="332"/>
      <c r="W101" s="332"/>
      <c r="X101" s="332"/>
      <c r="Y101" s="332"/>
      <c r="Z101" s="332"/>
      <c r="AA101" s="352"/>
      <c r="AB101" s="352"/>
      <c r="AC101" s="332"/>
      <c r="AD101" s="332"/>
      <c r="AE101" s="356"/>
      <c r="AF101" s="357"/>
    </row>
    <row r="102" spans="1:40" s="163" customFormat="1">
      <c r="A102" s="159"/>
      <c r="B102" s="159"/>
      <c r="C102" s="159"/>
      <c r="D102" s="159"/>
      <c r="E102" s="159"/>
      <c r="F102" s="159"/>
      <c r="G102" s="159"/>
      <c r="H102" s="159"/>
      <c r="I102" s="159"/>
      <c r="J102" s="160"/>
      <c r="K102" s="160"/>
      <c r="L102" s="160"/>
      <c r="M102" s="160"/>
      <c r="N102" s="160"/>
      <c r="O102" s="160"/>
      <c r="P102" s="160"/>
      <c r="Q102" s="160"/>
      <c r="R102" s="160"/>
      <c r="S102" s="160"/>
      <c r="T102" s="161"/>
      <c r="U102" s="161"/>
      <c r="V102" s="161"/>
      <c r="W102" s="161"/>
      <c r="X102" s="161"/>
      <c r="Y102" s="161"/>
      <c r="Z102" s="161"/>
      <c r="AA102" s="162"/>
      <c r="AB102" s="162"/>
      <c r="AC102" s="160"/>
      <c r="AD102" s="160"/>
      <c r="AE102" s="159"/>
      <c r="AF102" s="159"/>
    </row>
    <row r="103" spans="1:40" s="163" customFormat="1" ht="30" customHeight="1">
      <c r="A103" s="351" t="s">
        <v>1137</v>
      </c>
      <c r="B103" s="351"/>
      <c r="C103" s="351"/>
      <c r="D103" s="351"/>
      <c r="E103" s="351"/>
      <c r="F103" s="351"/>
      <c r="G103" s="351"/>
      <c r="H103" s="351"/>
      <c r="I103" s="351"/>
      <c r="J103" s="351"/>
      <c r="K103" s="351"/>
      <c r="L103" s="351"/>
      <c r="M103" s="351"/>
      <c r="N103" s="351"/>
      <c r="O103" s="351"/>
      <c r="P103" s="351"/>
      <c r="Q103" s="351"/>
      <c r="R103" s="351"/>
      <c r="S103" s="351"/>
      <c r="T103" s="351"/>
      <c r="U103" s="351"/>
      <c r="V103" s="351"/>
      <c r="W103" s="351"/>
      <c r="X103" s="351"/>
      <c r="Y103" s="351"/>
      <c r="Z103" s="351"/>
      <c r="AA103" s="351"/>
      <c r="AB103" s="351"/>
      <c r="AC103" s="351"/>
      <c r="AD103" s="351"/>
      <c r="AE103" s="351"/>
      <c r="AF103" s="351"/>
      <c r="AG103" s="351"/>
      <c r="AH103" s="351"/>
      <c r="AI103" s="351"/>
      <c r="AJ103" s="351"/>
      <c r="AK103" s="351"/>
      <c r="AL103" s="351"/>
      <c r="AM103" s="351"/>
      <c r="AN103" s="351"/>
    </row>
    <row r="104" spans="1:40" s="163" customFormat="1" ht="29.25" customHeight="1">
      <c r="A104" s="351"/>
      <c r="B104" s="351"/>
      <c r="C104" s="351"/>
      <c r="D104" s="351"/>
      <c r="E104" s="351"/>
      <c r="F104" s="351"/>
      <c r="G104" s="351"/>
      <c r="H104" s="351"/>
      <c r="I104" s="351"/>
      <c r="J104" s="351"/>
      <c r="K104" s="351"/>
      <c r="L104" s="351"/>
      <c r="M104" s="351"/>
      <c r="N104" s="351"/>
      <c r="O104" s="351"/>
      <c r="P104" s="351"/>
      <c r="Q104" s="351"/>
      <c r="R104" s="351"/>
      <c r="S104" s="351"/>
      <c r="T104" s="351"/>
      <c r="U104" s="351"/>
      <c r="V104" s="351"/>
      <c r="W104" s="351"/>
      <c r="X104" s="351"/>
      <c r="Y104" s="351"/>
      <c r="Z104" s="351"/>
      <c r="AA104" s="351"/>
      <c r="AB104" s="351"/>
      <c r="AC104" s="351"/>
      <c r="AD104" s="351"/>
      <c r="AE104" s="351"/>
      <c r="AF104" s="351"/>
      <c r="AG104" s="351"/>
      <c r="AH104" s="351"/>
      <c r="AI104" s="351"/>
      <c r="AJ104" s="351"/>
      <c r="AK104" s="351"/>
      <c r="AL104" s="351"/>
      <c r="AM104" s="351"/>
      <c r="AN104" s="351"/>
    </row>
    <row r="106" spans="1:40" ht="27" customHeight="1">
      <c r="A106" s="531" t="s">
        <v>378</v>
      </c>
      <c r="B106" s="531"/>
      <c r="C106" s="531"/>
      <c r="D106" s="531"/>
      <c r="E106" s="531"/>
      <c r="F106" s="531"/>
      <c r="G106" s="531"/>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c r="AI106" s="531"/>
      <c r="AJ106" s="531"/>
      <c r="AK106" s="531"/>
      <c r="AL106" s="531"/>
      <c r="AM106" s="531"/>
      <c r="AN106" s="531"/>
    </row>
    <row r="107" spans="1:40" ht="6.95" customHeight="1">
      <c r="A107" s="164"/>
      <c r="B107" s="164"/>
      <c r="C107" s="164"/>
      <c r="D107" s="164"/>
      <c r="E107" s="164"/>
      <c r="F107" s="164"/>
      <c r="G107" s="164"/>
      <c r="H107" s="164"/>
      <c r="I107" s="164"/>
      <c r="J107" s="164"/>
      <c r="K107" s="164"/>
      <c r="L107" s="164"/>
      <c r="M107" s="164"/>
      <c r="N107" s="164"/>
      <c r="O107" s="164"/>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row>
    <row r="108" spans="1:40" ht="16.5" thickBot="1">
      <c r="A108" s="164" t="s">
        <v>366</v>
      </c>
      <c r="B108" s="164"/>
      <c r="C108" s="164"/>
      <c r="D108" s="164"/>
      <c r="E108" s="164"/>
      <c r="F108" s="164"/>
      <c r="G108" s="164"/>
      <c r="H108" s="164"/>
      <c r="I108" s="164"/>
      <c r="J108" s="164"/>
      <c r="K108" s="164"/>
      <c r="L108" s="164"/>
      <c r="M108" s="164"/>
      <c r="N108" s="164"/>
      <c r="O108" s="164"/>
      <c r="P108" s="165"/>
      <c r="Q108" s="165"/>
      <c r="R108" s="165"/>
      <c r="S108" s="165"/>
      <c r="T108" s="165"/>
      <c r="U108" s="338" t="str">
        <f ca="1">IF(N111&gt;I111,Lists!T1,"")</f>
        <v/>
      </c>
      <c r="V108" s="338"/>
      <c r="W108" s="338"/>
      <c r="X108" s="338"/>
      <c r="Y108" s="338"/>
      <c r="Z108" s="338"/>
      <c r="AA108" s="338"/>
      <c r="AB108" s="338"/>
      <c r="AC108" s="338"/>
      <c r="AD108" s="338"/>
      <c r="AE108" s="338"/>
      <c r="AF108" s="338"/>
      <c r="AG108" s="165"/>
      <c r="AH108" s="165"/>
      <c r="AI108" s="165"/>
      <c r="AJ108" s="165"/>
      <c r="AK108" s="165"/>
      <c r="AL108" s="165"/>
      <c r="AM108" s="165"/>
      <c r="AN108" s="165"/>
    </row>
    <row r="109" spans="1:40" s="168" customFormat="1" ht="15" customHeight="1" thickBot="1">
      <c r="A109" s="166"/>
      <c r="B109" s="166"/>
      <c r="C109" s="166"/>
      <c r="D109" s="166"/>
      <c r="E109" s="166"/>
      <c r="F109" s="166"/>
      <c r="G109" s="166"/>
      <c r="H109" s="166"/>
      <c r="I109" s="525" t="s">
        <v>368</v>
      </c>
      <c r="J109" s="359"/>
      <c r="K109" s="359"/>
      <c r="L109" s="359"/>
      <c r="M109" s="359"/>
      <c r="N109" s="358" t="s">
        <v>369</v>
      </c>
      <c r="O109" s="359"/>
      <c r="P109" s="359"/>
      <c r="Q109" s="359"/>
      <c r="R109" s="359"/>
      <c r="S109" s="360"/>
      <c r="T109" s="166"/>
      <c r="U109" s="338"/>
      <c r="V109" s="338"/>
      <c r="W109" s="338"/>
      <c r="X109" s="338"/>
      <c r="Y109" s="338"/>
      <c r="Z109" s="338"/>
      <c r="AA109" s="338"/>
      <c r="AB109" s="338"/>
      <c r="AC109" s="338"/>
      <c r="AD109" s="338"/>
      <c r="AE109" s="338"/>
      <c r="AF109" s="338"/>
      <c r="AG109" s="167"/>
      <c r="AH109" s="167"/>
      <c r="AI109" s="167"/>
      <c r="AJ109" s="167"/>
      <c r="AK109" s="167"/>
      <c r="AL109" s="167"/>
      <c r="AM109" s="167"/>
      <c r="AN109" s="167"/>
    </row>
    <row r="110" spans="1:40" ht="15" customHeight="1">
      <c r="A110" s="333" t="s">
        <v>392</v>
      </c>
      <c r="B110" s="334"/>
      <c r="C110" s="334"/>
      <c r="D110" s="334"/>
      <c r="E110" s="334"/>
      <c r="F110" s="334"/>
      <c r="G110" s="334"/>
      <c r="H110" s="334"/>
      <c r="I110" s="341">
        <f ca="1">V85</f>
        <v>5.8666666666666663</v>
      </c>
      <c r="J110" s="342"/>
      <c r="K110" s="342"/>
      <c r="L110" s="342"/>
      <c r="M110" s="342"/>
      <c r="N110" s="343">
        <f>IF(AK16=0,"",N111/AK16)</f>
        <v>0</v>
      </c>
      <c r="O110" s="342"/>
      <c r="P110" s="342"/>
      <c r="Q110" s="342"/>
      <c r="R110" s="342"/>
      <c r="S110" s="344"/>
      <c r="T110" s="165"/>
      <c r="U110" s="338"/>
      <c r="V110" s="338"/>
      <c r="W110" s="338"/>
      <c r="X110" s="338"/>
      <c r="Y110" s="338"/>
      <c r="Z110" s="338"/>
      <c r="AA110" s="338"/>
      <c r="AB110" s="338"/>
      <c r="AC110" s="338"/>
      <c r="AD110" s="338"/>
      <c r="AE110" s="338"/>
      <c r="AF110" s="338"/>
      <c r="AG110" s="165"/>
      <c r="AH110" s="165"/>
      <c r="AI110" s="165"/>
      <c r="AJ110" s="165"/>
      <c r="AK110" s="165"/>
      <c r="AL110" s="165"/>
      <c r="AM110" s="165"/>
      <c r="AN110" s="165"/>
    </row>
    <row r="111" spans="1:40" ht="15.75" customHeight="1" thickBot="1">
      <c r="A111" s="335" t="s">
        <v>393</v>
      </c>
      <c r="B111" s="336"/>
      <c r="C111" s="336"/>
      <c r="D111" s="336"/>
      <c r="E111" s="336"/>
      <c r="F111" s="336"/>
      <c r="G111" s="336"/>
      <c r="H111" s="337"/>
      <c r="I111" s="339">
        <f ca="1">G85</f>
        <v>176</v>
      </c>
      <c r="J111" s="340"/>
      <c r="K111" s="340"/>
      <c r="L111" s="340"/>
      <c r="M111" s="340"/>
      <c r="N111" s="345"/>
      <c r="O111" s="346"/>
      <c r="P111" s="346"/>
      <c r="Q111" s="346"/>
      <c r="R111" s="346"/>
      <c r="S111" s="347"/>
      <c r="T111" s="165"/>
      <c r="U111" s="338"/>
      <c r="V111" s="338"/>
      <c r="W111" s="338"/>
      <c r="X111" s="338"/>
      <c r="Y111" s="338"/>
      <c r="Z111" s="338"/>
      <c r="AA111" s="338"/>
      <c r="AB111" s="338"/>
      <c r="AC111" s="338"/>
      <c r="AD111" s="338"/>
      <c r="AE111" s="338"/>
      <c r="AF111" s="338"/>
      <c r="AG111" s="165"/>
      <c r="AH111" s="165"/>
      <c r="AI111" s="165"/>
      <c r="AJ111" s="165"/>
      <c r="AK111" s="165"/>
      <c r="AL111" s="165"/>
      <c r="AM111" s="165"/>
      <c r="AN111" s="165"/>
    </row>
    <row r="112" spans="1:40" ht="6.95" customHeight="1">
      <c r="A112" s="164"/>
      <c r="B112" s="164"/>
      <c r="C112" s="164"/>
      <c r="D112" s="164"/>
      <c r="E112" s="164"/>
      <c r="F112" s="164"/>
      <c r="G112" s="164"/>
      <c r="H112" s="164"/>
      <c r="I112" s="164"/>
      <c r="J112" s="164"/>
      <c r="K112" s="164"/>
      <c r="L112" s="164"/>
      <c r="M112" s="164"/>
      <c r="N112" s="164"/>
      <c r="O112" s="164"/>
      <c r="P112" s="165"/>
      <c r="Q112" s="165"/>
      <c r="R112" s="165"/>
      <c r="S112" s="165"/>
      <c r="T112" s="165"/>
      <c r="U112" s="165"/>
      <c r="V112" s="165"/>
      <c r="W112" s="165"/>
      <c r="X112" s="165"/>
      <c r="Y112" s="165"/>
      <c r="Z112" s="165"/>
      <c r="AA112" s="165"/>
      <c r="AB112" s="169"/>
      <c r="AC112" s="169"/>
      <c r="AD112" s="169"/>
      <c r="AE112" s="169"/>
      <c r="AF112" s="169"/>
      <c r="AG112" s="169"/>
      <c r="AH112" s="165"/>
      <c r="AI112" s="165"/>
      <c r="AJ112" s="165"/>
      <c r="AK112" s="165"/>
      <c r="AL112" s="165"/>
      <c r="AM112" s="165"/>
      <c r="AN112" s="165"/>
    </row>
    <row r="113" spans="1:40" ht="16.5" thickBot="1">
      <c r="A113" s="164" t="s">
        <v>370</v>
      </c>
      <c r="B113" s="164"/>
      <c r="C113" s="164"/>
      <c r="D113" s="164"/>
      <c r="E113" s="164"/>
      <c r="F113" s="164"/>
      <c r="G113" s="164"/>
      <c r="H113" s="164"/>
      <c r="I113" s="164"/>
      <c r="J113" s="164"/>
      <c r="K113" s="164"/>
      <c r="L113" s="164"/>
      <c r="M113" s="164"/>
      <c r="N113" s="164"/>
      <c r="O113" s="164"/>
      <c r="P113" s="165"/>
      <c r="Q113" s="165"/>
      <c r="R113" s="165"/>
      <c r="S113" s="165"/>
      <c r="T113" s="165"/>
      <c r="U113" s="165"/>
      <c r="V113" s="165"/>
      <c r="W113" s="165"/>
      <c r="X113" s="165"/>
      <c r="Y113" s="165"/>
      <c r="Z113" s="165"/>
      <c r="AA113" s="165"/>
      <c r="AB113" s="169"/>
      <c r="AC113" s="169"/>
      <c r="AD113" s="169"/>
      <c r="AE113" s="169"/>
      <c r="AF113" s="169"/>
      <c r="AG113" s="169"/>
      <c r="AH113" s="169"/>
      <c r="AI113" s="165"/>
      <c r="AJ113" s="165"/>
      <c r="AK113" s="165"/>
      <c r="AL113" s="165"/>
      <c r="AM113" s="165"/>
      <c r="AN113" s="165"/>
    </row>
    <row r="114" spans="1:40" ht="15.75" customHeight="1" thickBot="1">
      <c r="A114" s="367" t="s">
        <v>371</v>
      </c>
      <c r="B114" s="368"/>
      <c r="C114" s="368"/>
      <c r="D114" s="368"/>
      <c r="E114" s="368"/>
      <c r="F114" s="368"/>
      <c r="G114" s="368"/>
      <c r="H114" s="368"/>
      <c r="I114" s="368"/>
      <c r="J114" s="327" t="s">
        <v>373</v>
      </c>
      <c r="K114" s="327"/>
      <c r="L114" s="327"/>
      <c r="M114" s="327"/>
      <c r="N114" s="327"/>
      <c r="O114" s="327"/>
      <c r="P114" s="327"/>
      <c r="Q114" s="327"/>
      <c r="R114" s="327" t="s">
        <v>376</v>
      </c>
      <c r="S114" s="327"/>
      <c r="T114" s="327"/>
      <c r="U114" s="327"/>
      <c r="V114" s="327"/>
      <c r="W114" s="327"/>
      <c r="X114" s="327"/>
      <c r="Y114" s="327" t="s">
        <v>374</v>
      </c>
      <c r="Z114" s="327"/>
      <c r="AA114" s="327"/>
      <c r="AB114" s="327" t="s">
        <v>311</v>
      </c>
      <c r="AC114" s="327"/>
      <c r="AD114" s="327"/>
      <c r="AE114" s="327"/>
      <c r="AF114" s="384"/>
      <c r="AG114" s="169"/>
      <c r="AH114" s="169"/>
      <c r="AI114" s="165"/>
      <c r="AJ114" s="165"/>
      <c r="AK114" s="165"/>
      <c r="AL114" s="165"/>
      <c r="AM114" s="165"/>
      <c r="AN114" s="165"/>
    </row>
    <row r="115" spans="1:40" ht="15.75" customHeight="1">
      <c r="A115" s="378" t="s">
        <v>367</v>
      </c>
      <c r="B115" s="379"/>
      <c r="C115" s="379"/>
      <c r="D115" s="379"/>
      <c r="E115" s="379"/>
      <c r="F115" s="379"/>
      <c r="G115" s="379"/>
      <c r="H115" s="379"/>
      <c r="I115" s="379"/>
      <c r="J115" s="372">
        <f ca="1">IF(K87="","",K87-N110)</f>
        <v>53.815602836879435</v>
      </c>
      <c r="K115" s="372"/>
      <c r="L115" s="372"/>
      <c r="M115" s="372"/>
      <c r="N115" s="372"/>
      <c r="O115" s="372"/>
      <c r="P115" s="372"/>
      <c r="Q115" s="372"/>
      <c r="R115" s="374"/>
      <c r="S115" s="374"/>
      <c r="T115" s="374"/>
      <c r="U115" s="374"/>
      <c r="V115" s="374"/>
      <c r="W115" s="374"/>
      <c r="X115" s="374"/>
      <c r="Y115" s="370">
        <f>AK16</f>
        <v>30</v>
      </c>
      <c r="Z115" s="370"/>
      <c r="AA115" s="370"/>
      <c r="AB115" s="380">
        <f>R115*Y115</f>
        <v>0</v>
      </c>
      <c r="AC115" s="380"/>
      <c r="AD115" s="380"/>
      <c r="AE115" s="380"/>
      <c r="AF115" s="381"/>
      <c r="AG115" s="169" t="str">
        <f>IF(N$111=0,"",IF(Y115&gt;0,1,0))</f>
        <v/>
      </c>
      <c r="AH115" s="169"/>
      <c r="AI115" s="165"/>
      <c r="AJ115" s="165"/>
      <c r="AK115" s="165"/>
      <c r="AL115" s="165"/>
      <c r="AM115" s="165"/>
      <c r="AN115" s="165"/>
    </row>
    <row r="116" spans="1:40" ht="15.75" customHeight="1" thickBot="1">
      <c r="A116" s="375" t="s">
        <v>372</v>
      </c>
      <c r="B116" s="376"/>
      <c r="C116" s="376"/>
      <c r="D116" s="376"/>
      <c r="E116" s="376"/>
      <c r="F116" s="376"/>
      <c r="G116" s="376"/>
      <c r="H116" s="376"/>
      <c r="I116" s="376"/>
      <c r="J116" s="373">
        <f ca="1">R88</f>
        <v>53.815602836879435</v>
      </c>
      <c r="K116" s="373"/>
      <c r="L116" s="373"/>
      <c r="M116" s="373"/>
      <c r="N116" s="373"/>
      <c r="O116" s="373"/>
      <c r="P116" s="373"/>
      <c r="Q116" s="373"/>
      <c r="R116" s="377"/>
      <c r="S116" s="377"/>
      <c r="T116" s="377"/>
      <c r="U116" s="377"/>
      <c r="V116" s="377"/>
      <c r="W116" s="377"/>
      <c r="X116" s="377"/>
      <c r="Y116" s="371">
        <f>AK17</f>
        <v>0</v>
      </c>
      <c r="Z116" s="371"/>
      <c r="AA116" s="371"/>
      <c r="AB116" s="382">
        <f>R116*Y116</f>
        <v>0</v>
      </c>
      <c r="AC116" s="382"/>
      <c r="AD116" s="382"/>
      <c r="AE116" s="382"/>
      <c r="AF116" s="383"/>
      <c r="AG116" s="169" t="str">
        <f>IF(N111=0,"",IF(Y116&gt;0,1,0))</f>
        <v/>
      </c>
      <c r="AH116" s="169"/>
      <c r="AI116" s="165"/>
      <c r="AJ116" s="165"/>
      <c r="AK116" s="165"/>
      <c r="AL116" s="165"/>
      <c r="AM116" s="165"/>
      <c r="AN116" s="165"/>
    </row>
    <row r="117" spans="1:40" ht="30" customHeight="1">
      <c r="A117" s="369" t="str">
        <f>IF(R115="","",IF(R115&lt;J115*1.1,"* You are advised to charge ICU student members at least " &amp;TEXT((R88-N110)*1.1,"£#,##0.00") &amp;". This will give you 10% contingency money which can be used to cover unforseen expenditure on the tour.",IF(R116="","",IF(R116&lt;J116*1.1,"* You are advised to charge Non ICU student members at least " &amp;TEXT(R88*1.1,"£#,##0.00") &amp;". This will give you 10% contingency money which can be used to cover unforseen expenditure on the tour.",""))))</f>
        <v/>
      </c>
      <c r="B117" s="369"/>
      <c r="C117" s="369"/>
      <c r="D117" s="369"/>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69"/>
      <c r="AF117" s="369"/>
      <c r="AG117" s="169"/>
      <c r="AH117" s="169"/>
      <c r="AI117" s="165"/>
      <c r="AJ117" s="165"/>
      <c r="AK117" s="165"/>
      <c r="AL117" s="165"/>
      <c r="AM117" s="165"/>
      <c r="AN117" s="165"/>
    </row>
    <row r="118" spans="1:40" ht="11.25" hidden="1" customHeight="1">
      <c r="A118" s="338"/>
      <c r="B118" s="338"/>
      <c r="C118" s="338"/>
      <c r="D118" s="338"/>
      <c r="E118" s="338"/>
      <c r="F118" s="338"/>
      <c r="G118" s="338"/>
      <c r="H118" s="338"/>
      <c r="I118" s="338"/>
      <c r="J118" s="338"/>
      <c r="K118" s="338"/>
      <c r="L118" s="338"/>
      <c r="M118" s="338"/>
      <c r="N118" s="338"/>
      <c r="O118" s="338"/>
      <c r="P118" s="338"/>
      <c r="Q118" s="338"/>
      <c r="R118" s="338"/>
      <c r="S118" s="338"/>
      <c r="T118" s="338"/>
      <c r="U118" s="338"/>
      <c r="V118" s="338"/>
      <c r="W118" s="338"/>
      <c r="X118" s="338"/>
      <c r="Y118" s="338"/>
      <c r="Z118" s="338"/>
      <c r="AA118" s="338"/>
      <c r="AB118" s="338"/>
      <c r="AC118" s="338"/>
      <c r="AD118" s="338"/>
      <c r="AE118" s="338"/>
      <c r="AF118" s="338"/>
      <c r="AG118" s="169"/>
      <c r="AH118" s="169"/>
      <c r="AI118" s="165"/>
      <c r="AJ118" s="165"/>
      <c r="AK118" s="165"/>
      <c r="AL118" s="165"/>
      <c r="AM118" s="165"/>
    </row>
    <row r="119" spans="1:40">
      <c r="A119" s="522" t="s">
        <v>1139</v>
      </c>
      <c r="B119" s="522"/>
      <c r="C119" s="522"/>
      <c r="D119" s="522"/>
      <c r="E119" s="522"/>
      <c r="F119" s="522"/>
      <c r="G119" s="522"/>
      <c r="H119" s="522"/>
      <c r="I119" s="522"/>
      <c r="J119" s="522"/>
      <c r="K119" s="522"/>
      <c r="L119" s="522"/>
      <c r="M119" s="522"/>
      <c r="N119" s="522"/>
      <c r="O119" s="522"/>
      <c r="P119" s="522"/>
      <c r="Q119" s="522"/>
      <c r="R119" s="522"/>
      <c r="S119" s="522"/>
      <c r="T119" s="522"/>
      <c r="U119" s="522"/>
      <c r="V119" s="522"/>
      <c r="W119" s="522"/>
      <c r="X119" s="522"/>
      <c r="Y119" s="522"/>
      <c r="Z119" s="522"/>
      <c r="AA119" s="522"/>
      <c r="AB119" s="522"/>
      <c r="AC119" s="522"/>
      <c r="AD119" s="522"/>
      <c r="AE119" s="522"/>
      <c r="AF119" s="522"/>
      <c r="AG119" s="522"/>
      <c r="AH119" s="522"/>
      <c r="AI119" s="522"/>
      <c r="AJ119" s="522"/>
      <c r="AK119" s="522"/>
      <c r="AL119" s="522"/>
      <c r="AM119" s="522"/>
      <c r="AN119" s="522"/>
    </row>
    <row r="120" spans="1:40">
      <c r="A120" s="522"/>
      <c r="B120" s="522"/>
      <c r="C120" s="522"/>
      <c r="D120" s="522"/>
      <c r="E120" s="522"/>
      <c r="F120" s="522"/>
      <c r="G120" s="522"/>
      <c r="H120" s="522"/>
      <c r="I120" s="522"/>
      <c r="J120" s="522"/>
      <c r="K120" s="522"/>
      <c r="L120" s="522"/>
      <c r="M120" s="522"/>
      <c r="N120" s="522"/>
      <c r="O120" s="522"/>
      <c r="P120" s="522"/>
      <c r="Q120" s="522"/>
      <c r="R120" s="522"/>
      <c r="S120" s="522"/>
      <c r="T120" s="522"/>
      <c r="U120" s="522"/>
      <c r="V120" s="522"/>
      <c r="W120" s="522"/>
      <c r="X120" s="522"/>
      <c r="Y120" s="522"/>
      <c r="Z120" s="522"/>
      <c r="AA120" s="522"/>
      <c r="AB120" s="522"/>
      <c r="AC120" s="522"/>
      <c r="AD120" s="522"/>
      <c r="AE120" s="522"/>
      <c r="AF120" s="522"/>
      <c r="AG120" s="522"/>
      <c r="AH120" s="522"/>
      <c r="AI120" s="522"/>
      <c r="AJ120" s="522"/>
      <c r="AK120" s="522"/>
      <c r="AL120" s="522"/>
      <c r="AM120" s="522"/>
      <c r="AN120" s="522"/>
    </row>
    <row r="121" spans="1:40">
      <c r="A121" s="522"/>
      <c r="B121" s="522"/>
      <c r="C121" s="522"/>
      <c r="D121" s="522"/>
      <c r="E121" s="522"/>
      <c r="F121" s="522"/>
      <c r="G121" s="522"/>
      <c r="H121" s="522"/>
      <c r="I121" s="522"/>
      <c r="J121" s="522"/>
      <c r="K121" s="522"/>
      <c r="L121" s="522"/>
      <c r="M121" s="522"/>
      <c r="N121" s="522"/>
      <c r="O121" s="522"/>
      <c r="P121" s="522"/>
      <c r="Q121" s="522"/>
      <c r="R121" s="522"/>
      <c r="S121" s="522"/>
      <c r="T121" s="522"/>
      <c r="U121" s="522"/>
      <c r="V121" s="522"/>
      <c r="W121" s="522"/>
      <c r="X121" s="522"/>
      <c r="Y121" s="522"/>
      <c r="Z121" s="522"/>
      <c r="AA121" s="522"/>
      <c r="AB121" s="522"/>
      <c r="AC121" s="522"/>
      <c r="AD121" s="522"/>
      <c r="AE121" s="522"/>
      <c r="AF121" s="522"/>
      <c r="AG121" s="522"/>
      <c r="AH121" s="522"/>
      <c r="AI121" s="522"/>
      <c r="AJ121" s="522"/>
      <c r="AK121" s="522"/>
      <c r="AL121" s="522"/>
      <c r="AM121" s="522"/>
      <c r="AN121" s="522"/>
    </row>
  </sheetData>
  <sheetProtection password="C887" sheet="1" selectLockedCells="1"/>
  <dataConsolidate/>
  <mergeCells count="373">
    <mergeCell ref="AA41:AB41"/>
    <mergeCell ref="AG78:AN78"/>
    <mergeCell ref="AG77:AN77"/>
    <mergeCell ref="AG72:AN72"/>
    <mergeCell ref="AA100:AB100"/>
    <mergeCell ref="A100:I100"/>
    <mergeCell ref="AG74:AN74"/>
    <mergeCell ref="AG73:AN73"/>
    <mergeCell ref="AG76:AN76"/>
    <mergeCell ref="AG75:AN75"/>
    <mergeCell ref="AC77:AF77"/>
    <mergeCell ref="AC76:AF76"/>
    <mergeCell ref="AG48:AN48"/>
    <mergeCell ref="AG65:AN65"/>
    <mergeCell ref="A70:S70"/>
    <mergeCell ref="T69:W69"/>
    <mergeCell ref="A68:S68"/>
    <mergeCell ref="X69:Y69"/>
    <mergeCell ref="AA54:AB54"/>
    <mergeCell ref="T52:U52"/>
    <mergeCell ref="A119:AN121"/>
    <mergeCell ref="A92:AN92"/>
    <mergeCell ref="T101:Z101"/>
    <mergeCell ref="T100:Z100"/>
    <mergeCell ref="A101:I101"/>
    <mergeCell ref="J101:S101"/>
    <mergeCell ref="I109:M109"/>
    <mergeCell ref="T68:W68"/>
    <mergeCell ref="X67:Y67"/>
    <mergeCell ref="X68:Y68"/>
    <mergeCell ref="P78:S78"/>
    <mergeCell ref="T72:U72"/>
    <mergeCell ref="T73:U73"/>
    <mergeCell ref="T74:U74"/>
    <mergeCell ref="T75:U75"/>
    <mergeCell ref="P73:S73"/>
    <mergeCell ref="P74:S74"/>
    <mergeCell ref="A67:S67"/>
    <mergeCell ref="T70:W70"/>
    <mergeCell ref="AG70:AN70"/>
    <mergeCell ref="AG69:AN69"/>
    <mergeCell ref="AG68:AN68"/>
    <mergeCell ref="Z50:AB50"/>
    <mergeCell ref="AA51:AB51"/>
    <mergeCell ref="P60:S60"/>
    <mergeCell ref="AC75:AF75"/>
    <mergeCell ref="AC74:AF74"/>
    <mergeCell ref="AG51:AN51"/>
    <mergeCell ref="AG67:AN67"/>
    <mergeCell ref="AG66:AN66"/>
    <mergeCell ref="AA78:AB78"/>
    <mergeCell ref="T76:U76"/>
    <mergeCell ref="X70:Y70"/>
    <mergeCell ref="V76:Y76"/>
    <mergeCell ref="V77:Y77"/>
    <mergeCell ref="V78:Y78"/>
    <mergeCell ref="AA76:AB76"/>
    <mergeCell ref="T78:U78"/>
    <mergeCell ref="AA75:AB75"/>
    <mergeCell ref="V75:Y75"/>
    <mergeCell ref="AA74:AB74"/>
    <mergeCell ref="AA52:AB52"/>
    <mergeCell ref="AC57:AF57"/>
    <mergeCell ref="AC61:AF61"/>
    <mergeCell ref="AC53:AF53"/>
    <mergeCell ref="X66:Y66"/>
    <mergeCell ref="AA58:AB58"/>
    <mergeCell ref="P61:S61"/>
    <mergeCell ref="AA55:AB55"/>
    <mergeCell ref="T58:U58"/>
    <mergeCell ref="AA61:AB61"/>
    <mergeCell ref="AA59:AB59"/>
    <mergeCell ref="V58:Y58"/>
    <mergeCell ref="V59:Y59"/>
    <mergeCell ref="T64:W64"/>
    <mergeCell ref="T36:W36"/>
    <mergeCell ref="T39:W39"/>
    <mergeCell ref="V85:X85"/>
    <mergeCell ref="F87:H87"/>
    <mergeCell ref="AC54:AF54"/>
    <mergeCell ref="AC55:AF55"/>
    <mergeCell ref="AA53:AB53"/>
    <mergeCell ref="AA57:AB57"/>
    <mergeCell ref="AA56:AB56"/>
    <mergeCell ref="AC56:AF56"/>
    <mergeCell ref="A66:S66"/>
    <mergeCell ref="X65:Y65"/>
    <mergeCell ref="X41:Y41"/>
    <mergeCell ref="AA42:AB42"/>
    <mergeCell ref="P75:S75"/>
    <mergeCell ref="P72:S72"/>
    <mergeCell ref="A75:O75"/>
    <mergeCell ref="A44:S44"/>
    <mergeCell ref="T42:W42"/>
    <mergeCell ref="A52:O52"/>
    <mergeCell ref="A51:O51"/>
    <mergeCell ref="P51:S51"/>
    <mergeCell ref="A48:S48"/>
    <mergeCell ref="T48:W48"/>
    <mergeCell ref="AA99:AF99"/>
    <mergeCell ref="O91:Q91"/>
    <mergeCell ref="A99:I99"/>
    <mergeCell ref="R88:T88"/>
    <mergeCell ref="T99:Z99"/>
    <mergeCell ref="A76:O76"/>
    <mergeCell ref="V74:Y74"/>
    <mergeCell ref="V72:Y72"/>
    <mergeCell ref="V73:Y73"/>
    <mergeCell ref="AC78:AF78"/>
    <mergeCell ref="AA77:AB77"/>
    <mergeCell ref="A74:O74"/>
    <mergeCell ref="V60:Y60"/>
    <mergeCell ref="AC72:AF72"/>
    <mergeCell ref="A72:O72"/>
    <mergeCell ref="T67:W67"/>
    <mergeCell ref="AC65:AF65"/>
    <mergeCell ref="A81:U81"/>
    <mergeCell ref="P77:S77"/>
    <mergeCell ref="A77:O77"/>
    <mergeCell ref="T77:U77"/>
    <mergeCell ref="A78:O78"/>
    <mergeCell ref="A65:S65"/>
    <mergeCell ref="T66:W66"/>
    <mergeCell ref="A60:O60"/>
    <mergeCell ref="A61:O61"/>
    <mergeCell ref="T65:W65"/>
    <mergeCell ref="A69:S69"/>
    <mergeCell ref="AG33:AN33"/>
    <mergeCell ref="AC35:AF35"/>
    <mergeCell ref="AA35:AB35"/>
    <mergeCell ref="X40:Y40"/>
    <mergeCell ref="X36:Y36"/>
    <mergeCell ref="G18:H18"/>
    <mergeCell ref="I18:J18"/>
    <mergeCell ref="T37:W37"/>
    <mergeCell ref="A37:S37"/>
    <mergeCell ref="X37:Y37"/>
    <mergeCell ref="A35:S35"/>
    <mergeCell ref="T35:W35"/>
    <mergeCell ref="A21:AN30"/>
    <mergeCell ref="X34:Y34"/>
    <mergeCell ref="X35:Y35"/>
    <mergeCell ref="Q18:R18"/>
    <mergeCell ref="A38:S38"/>
    <mergeCell ref="A33:S33"/>
    <mergeCell ref="A20:H20"/>
    <mergeCell ref="Z20:AN20"/>
    <mergeCell ref="AA36:AB36"/>
    <mergeCell ref="AC36:AF36"/>
    <mergeCell ref="A36:S36"/>
    <mergeCell ref="X38:Y38"/>
    <mergeCell ref="A34:S34"/>
    <mergeCell ref="T34:W34"/>
    <mergeCell ref="T33:W33"/>
    <mergeCell ref="AC34:AF34"/>
    <mergeCell ref="Z33:AB33"/>
    <mergeCell ref="AA34:AB34"/>
    <mergeCell ref="AC33:AF33"/>
    <mergeCell ref="X33:Y33"/>
    <mergeCell ref="A17:D17"/>
    <mergeCell ref="AD15:AN15"/>
    <mergeCell ref="K18:L18"/>
    <mergeCell ref="O18:P18"/>
    <mergeCell ref="R7:AN7"/>
    <mergeCell ref="L7:Q7"/>
    <mergeCell ref="H13:U13"/>
    <mergeCell ref="AC12:AN13"/>
    <mergeCell ref="AC11:AN11"/>
    <mergeCell ref="M18:N18"/>
    <mergeCell ref="U18:AA18"/>
    <mergeCell ref="AK16:AN16"/>
    <mergeCell ref="S18:T18"/>
    <mergeCell ref="E17:AA17"/>
    <mergeCell ref="AK18:AN18"/>
    <mergeCell ref="E18:F18"/>
    <mergeCell ref="A11:G11"/>
    <mergeCell ref="A7:G7"/>
    <mergeCell ref="A8:G8"/>
    <mergeCell ref="A10:F10"/>
    <mergeCell ref="A15:F15"/>
    <mergeCell ref="A13:G13"/>
    <mergeCell ref="A16:D16"/>
    <mergeCell ref="E16:AA16"/>
    <mergeCell ref="AK17:AN17"/>
    <mergeCell ref="A1:AN1"/>
    <mergeCell ref="A2:AN2"/>
    <mergeCell ref="A4:AN4"/>
    <mergeCell ref="A3:AN3"/>
    <mergeCell ref="A12:G12"/>
    <mergeCell ref="H11:AA11"/>
    <mergeCell ref="H7:K7"/>
    <mergeCell ref="H8:AN8"/>
    <mergeCell ref="AI10:AN10"/>
    <mergeCell ref="H12:AA12"/>
    <mergeCell ref="A6:G6"/>
    <mergeCell ref="J100:S100"/>
    <mergeCell ref="A114:I114"/>
    <mergeCell ref="A117:AF118"/>
    <mergeCell ref="Y115:AA115"/>
    <mergeCell ref="Y116:AA116"/>
    <mergeCell ref="J115:Q115"/>
    <mergeCell ref="J116:Q116"/>
    <mergeCell ref="R115:X115"/>
    <mergeCell ref="A116:I116"/>
    <mergeCell ref="R116:X116"/>
    <mergeCell ref="A115:I115"/>
    <mergeCell ref="AB115:AF115"/>
    <mergeCell ref="AB116:AF116"/>
    <mergeCell ref="AB114:AF114"/>
    <mergeCell ref="Y114:AA114"/>
    <mergeCell ref="AC100:AD100"/>
    <mergeCell ref="AE100:AF100"/>
    <mergeCell ref="A106:AN106"/>
    <mergeCell ref="N110:S110"/>
    <mergeCell ref="N111:S111"/>
    <mergeCell ref="AC64:AF64"/>
    <mergeCell ref="AC73:AF73"/>
    <mergeCell ref="Z72:AB72"/>
    <mergeCell ref="AA73:AB73"/>
    <mergeCell ref="AA67:AB67"/>
    <mergeCell ref="AC67:AF67"/>
    <mergeCell ref="Z64:AB64"/>
    <mergeCell ref="A103:AN104"/>
    <mergeCell ref="AA101:AB101"/>
    <mergeCell ref="AC66:AF66"/>
    <mergeCell ref="AA66:AB66"/>
    <mergeCell ref="AA65:AB65"/>
    <mergeCell ref="AE101:AF101"/>
    <mergeCell ref="N109:S109"/>
    <mergeCell ref="P76:S76"/>
    <mergeCell ref="A73:O73"/>
    <mergeCell ref="K87:M87"/>
    <mergeCell ref="AG64:AN64"/>
    <mergeCell ref="X64:Y64"/>
    <mergeCell ref="A64:S64"/>
    <mergeCell ref="A90:U90"/>
    <mergeCell ref="J99:S99"/>
    <mergeCell ref="AC51:AF51"/>
    <mergeCell ref="G85:J85"/>
    <mergeCell ref="A85:F85"/>
    <mergeCell ref="V52:Y52"/>
    <mergeCell ref="P52:S52"/>
    <mergeCell ref="R114:X114"/>
    <mergeCell ref="J114:Q114"/>
    <mergeCell ref="AC68:AF68"/>
    <mergeCell ref="AA68:AB68"/>
    <mergeCell ref="AC70:AF70"/>
    <mergeCell ref="AA69:AB69"/>
    <mergeCell ref="AC69:AF69"/>
    <mergeCell ref="AC101:AD101"/>
    <mergeCell ref="P54:S54"/>
    <mergeCell ref="T54:U54"/>
    <mergeCell ref="V54:Y54"/>
    <mergeCell ref="A53:O53"/>
    <mergeCell ref="P53:S53"/>
    <mergeCell ref="T53:U53"/>
    <mergeCell ref="A110:H110"/>
    <mergeCell ref="A111:H111"/>
    <mergeCell ref="U108:AF111"/>
    <mergeCell ref="I111:M111"/>
    <mergeCell ref="I110:M110"/>
    <mergeCell ref="V57:Y57"/>
    <mergeCell ref="V51:Y51"/>
    <mergeCell ref="T51:U51"/>
    <mergeCell ref="A50:O50"/>
    <mergeCell ref="T50:U50"/>
    <mergeCell ref="X48:Y48"/>
    <mergeCell ref="T38:W38"/>
    <mergeCell ref="A39:S39"/>
    <mergeCell ref="A42:S42"/>
    <mergeCell ref="A40:S40"/>
    <mergeCell ref="V50:Y50"/>
    <mergeCell ref="P59:S59"/>
    <mergeCell ref="A56:O56"/>
    <mergeCell ref="P56:S56"/>
    <mergeCell ref="T56:U56"/>
    <mergeCell ref="A54:O54"/>
    <mergeCell ref="P50:S50"/>
    <mergeCell ref="A55:O55"/>
    <mergeCell ref="A57:O57"/>
    <mergeCell ref="P57:S57"/>
    <mergeCell ref="T57:U57"/>
    <mergeCell ref="A58:O58"/>
    <mergeCell ref="P58:S58"/>
    <mergeCell ref="A59:O59"/>
    <mergeCell ref="AC38:AF38"/>
    <mergeCell ref="A46:AN47"/>
    <mergeCell ref="AC43:AF43"/>
    <mergeCell ref="AA37:AB37"/>
    <mergeCell ref="AA38:AB38"/>
    <mergeCell ref="AA39:AB39"/>
    <mergeCell ref="AA40:AB40"/>
    <mergeCell ref="AC42:AF42"/>
    <mergeCell ref="AC39:AF39"/>
    <mergeCell ref="A41:S41"/>
    <mergeCell ref="T41:W41"/>
    <mergeCell ref="T40:W40"/>
    <mergeCell ref="T44:W44"/>
    <mergeCell ref="X43:Y43"/>
    <mergeCell ref="X42:Y42"/>
    <mergeCell ref="X39:Y39"/>
    <mergeCell ref="A43:S43"/>
    <mergeCell ref="T43:W43"/>
    <mergeCell ref="X44:Y44"/>
    <mergeCell ref="AC37:AF37"/>
    <mergeCell ref="AA43:AB43"/>
    <mergeCell ref="AA44:AB44"/>
    <mergeCell ref="AC40:AF40"/>
    <mergeCell ref="AC41:AF41"/>
    <mergeCell ref="AO34:AP34"/>
    <mergeCell ref="AO35:AP35"/>
    <mergeCell ref="AG36:AN36"/>
    <mergeCell ref="AO37:AP37"/>
    <mergeCell ref="AO36:AP36"/>
    <mergeCell ref="AG41:AN41"/>
    <mergeCell ref="AG44:AN44"/>
    <mergeCell ref="AG40:AN40"/>
    <mergeCell ref="AG39:AN39"/>
    <mergeCell ref="AG38:AN38"/>
    <mergeCell ref="AG37:AN37"/>
    <mergeCell ref="AG35:AN35"/>
    <mergeCell ref="AG34:AN34"/>
    <mergeCell ref="AO40:AP40"/>
    <mergeCell ref="AO39:AP39"/>
    <mergeCell ref="AO38:AP38"/>
    <mergeCell ref="AO54:AP54"/>
    <mergeCell ref="AO60:AP60"/>
    <mergeCell ref="AG54:AN54"/>
    <mergeCell ref="AO41:AP41"/>
    <mergeCell ref="AO51:AP51"/>
    <mergeCell ref="AO53:AP53"/>
    <mergeCell ref="T59:U59"/>
    <mergeCell ref="AO42:AP42"/>
    <mergeCell ref="AG43:AN43"/>
    <mergeCell ref="AG42:AN42"/>
    <mergeCell ref="AG53:AN53"/>
    <mergeCell ref="AG52:AN52"/>
    <mergeCell ref="AC44:AF44"/>
    <mergeCell ref="AO44:AP44"/>
    <mergeCell ref="AO43:AP43"/>
    <mergeCell ref="AO52:AP52"/>
    <mergeCell ref="AA60:AB60"/>
    <mergeCell ref="AC60:AF60"/>
    <mergeCell ref="AC50:AF50"/>
    <mergeCell ref="AC48:AF48"/>
    <mergeCell ref="AA48:AB48"/>
    <mergeCell ref="AG50:AN50"/>
    <mergeCell ref="AC52:AF52"/>
    <mergeCell ref="V53:Y53"/>
    <mergeCell ref="AO61:AP61"/>
    <mergeCell ref="P55:S55"/>
    <mergeCell ref="V55:Y55"/>
    <mergeCell ref="AO58:AP58"/>
    <mergeCell ref="T55:U55"/>
    <mergeCell ref="AO55:AP55"/>
    <mergeCell ref="AO59:AP59"/>
    <mergeCell ref="AO56:AP56"/>
    <mergeCell ref="AP81:AR90"/>
    <mergeCell ref="T61:U61"/>
    <mergeCell ref="AO57:AP57"/>
    <mergeCell ref="V56:Y56"/>
    <mergeCell ref="V61:Y61"/>
    <mergeCell ref="T60:U60"/>
    <mergeCell ref="AG61:AN61"/>
    <mergeCell ref="AG60:AN60"/>
    <mergeCell ref="AG56:AN56"/>
    <mergeCell ref="AG55:AN55"/>
    <mergeCell ref="AG59:AN59"/>
    <mergeCell ref="AG58:AN58"/>
    <mergeCell ref="AG57:AN57"/>
    <mergeCell ref="AC58:AF58"/>
    <mergeCell ref="AC59:AF59"/>
    <mergeCell ref="AA70:AB70"/>
  </mergeCells>
  <phoneticPr fontId="7" type="noConversion"/>
  <dataValidations xWindow="806" yWindow="345" count="47">
    <dataValidation type="decimal" operator="greaterThanOrEqual" showInputMessage="1" showErrorMessage="1" errorTitle="Tour Cost Per Person" error="You must enter a value here, and it must be greater or equal to the minimum cost of the tour per person" promptTitle="Tour Cost Per Person" prompt="Enter the amount here you intend charging an ICU student member for participating in the tour." sqref="R115:X115">
      <formula1>J115</formula1>
    </dataValidation>
    <dataValidation type="decimal" operator="greaterThanOrEqual" allowBlank="1" showInputMessage="1" showErrorMessage="1" errorTitle="Tour Cost Per Person" error="This should be greater or equal to the minimum cost of the tour per person" promptTitle="Tour Cost Per Person" prompt="Enter the amount here you intend charging a non ICU student member for participating in the tour." sqref="R116:X116">
      <formula1>J116</formula1>
    </dataValidation>
    <dataValidation type="decimal" allowBlank="1" showInputMessage="1" showErrorMessage="1" errorTitle="Amount of Subsidy Awarded" error="The amount of subsidy you have been awarded exceeds your total tour expenditure. Check you have enterred the amount correctly. If you have, or if this warning continues to appear contact the DPFS." promptTitle="Amount of Subsidy Awarded" prompt="Enter the total subsidy grant amount recieved from ICU here." sqref="N111:S111">
      <formula1>0</formula1>
      <formula2>totexp</formula2>
    </dataValidation>
    <dataValidation type="list" allowBlank="1" showInputMessage="1" showErrorMessage="1" promptTitle="Committtee Position" prompt="Select your committee position from the drop down menu or type it in" sqref="C12:G12">
      <formula1>compos</formula1>
    </dataValidation>
    <dataValidation allowBlank="1" showErrorMessage="1" errorTitle="Tour Period" error="You must select one. When a tour falls into two date brackets select the earlier one." promptTitle="Tour Period" prompt="Select from the drop down menu the date bracket during which your tour will take place" sqref="AB11:AC11"/>
    <dataValidation type="list" allowBlank="1" showInputMessage="1" showErrorMessage="1" promptTitle="Number of Units" prompt="Enter the quantity here" sqref="X65 T73 T51:U51 X34">
      <formula1>number</formula1>
    </dataValidation>
    <dataValidation type="list" allowBlank="1" showInputMessage="1" showErrorMessage="1" promptTitle="Day of the month" prompt="Select from drop down menu" sqref="AA101:AB102">
      <formula1>days</formula1>
    </dataValidation>
    <dataValidation type="list" allowBlank="1" showInputMessage="1" showErrorMessage="1" promptTitle="Month" prompt="Select the month from the drop down menu" sqref="AC101:AD102">
      <formula1>months</formula1>
    </dataValidation>
    <dataValidation type="list" allowBlank="1" showInputMessage="1" showErrorMessage="1" promptTitle="Year" prompt="Select the year from the drop down menu" sqref="AE101:AF102">
      <formula1>years</formula1>
    </dataValidation>
    <dataValidation allowBlank="1" showInputMessage="1" showErrorMessage="1" promptTitle="Fixed Expenditure" prompt="List here anticipated expenditure that will remain the same irrespective of the number of people who actually go on the tour, e.g. renting an apartment in which everyone will stay (this expenditure will be the same if 9/10/11 people go on the tour)." sqref="A35:S44"/>
    <dataValidation allowBlank="1" showInputMessage="1" showErrorMessage="1" promptTitle="Unit Price" sqref="P52:S61"/>
    <dataValidation allowBlank="1" showInputMessage="1" showErrorMessage="1" promptTitle="Variable Expenditure" prompt="List here anticipated expenditure that will vary proportionally with the number of people going on the tour e.g. campsite fees where paid per person. You should budget for the number of tour participants as stated above in cell AD13." sqref="A52:O61"/>
    <dataValidation type="list" allowBlank="1" showInputMessage="1" showErrorMessage="1" promptTitle="Tour Dates" prompt="Select a month from the drop down list." sqref="Q18:R18">
      <formula1>months</formula1>
    </dataValidation>
    <dataValidation type="list" allowBlank="1" showInputMessage="1" showErrorMessage="1" promptTitle="VAT" prompt="If the cost includes VAT, input Inc in this box.  If you're not sure, enter Inc but check the quote with your supplier." sqref="Z35:Z44">
      <formula1>VAT</formula1>
    </dataValidation>
    <dataValidation type="list" allowBlank="1" showInputMessage="1" showErrorMessage="1" promptTitle="VAT Rate" prompt="Sports clubs on tour in the UK should enter Exempt regardless of actual rate, for tours outside the UK, sports clubs should enter Zero regardless of actual rate.  If the VAT is less than 17.5% enter zero." sqref="AA35:AB44">
      <formula1>VATrate</formula1>
    </dataValidation>
    <dataValidation type="list" allowBlank="1" showInputMessage="1" showErrorMessage="1" promptTitle="VAT" prompt="If the cost includes VAT, input Inc in this box.  If you're not sure, enter Inc but check the quote with your supplier." sqref="Z52:Z61">
      <formula1>VAT</formula1>
    </dataValidation>
    <dataValidation type="list" allowBlank="1" showInputMessage="1" showErrorMessage="1" promptTitle="VAT Rate" prompt="Sports clubs on tour in the UK should enter Exempt regardless of actual rate, for tours outside the UK, sports clubs should enter Zero regardless of actual rate.  If the VAT is less than 17.5% enter zero." sqref="AA52:AB61">
      <formula1>VATrate</formula1>
    </dataValidation>
    <dataValidation type="list" allowBlank="1" showInputMessage="1" showErrorMessage="1" promptTitle="VAT" prompt="Do you have to pay VAT on this?" sqref="Z66:Z70">
      <formula1>yesno</formula1>
    </dataValidation>
    <dataValidation type="list" allowBlank="1" showInputMessage="1" showErrorMessage="1" promptTitle="VAT" prompt="Enter the rate at which (any) VAT will be paid at." sqref="AA66:AB70">
      <formula1>VATrate</formula1>
    </dataValidation>
    <dataValidation type="list" allowBlank="1" showInputMessage="1" showErrorMessage="1" promptTitle="VAT" prompt="Do you have to pay VAT on this?  Sports clubs don't pay VAT on Tour Tickets.  VAT is payable on nearly everything else.  Consult your CSC / FU / CU treasurer for more details." sqref="Z74:Z78">
      <formula1>yesno</formula1>
    </dataValidation>
    <dataValidation type="list" allowBlank="1" showInputMessage="1" showErrorMessage="1" promptTitle="VAT" prompt="Enter the rate at which (any) VAT must be paid." sqref="AA74:AB78">
      <formula1>VATrate</formula1>
    </dataValidation>
    <dataValidation allowBlank="1" showErrorMessage="1" promptTitle="Number of Units" prompt="Enter the quantity here." sqref="T76:U78"/>
    <dataValidation allowBlank="1" showErrorMessage="1" promptTitle="Number of Units" prompt="Enter the quantity here" sqref="T52:U61"/>
    <dataValidation allowBlank="1" showInputMessage="1" showErrorMessage="1" promptTitle="Number of Units" prompt="Enter the quantity here." sqref="X66:Y70"/>
    <dataValidation allowBlank="1" showInputMessage="1" showErrorMessage="1" promptTitle="Number of Units Per Person" prompt="Enter the number of times this cost will be incurred by each person on the tour." sqref="V76:Y78"/>
    <dataValidation allowBlank="1" showInputMessage="1" showErrorMessage="1" promptTitle="Variable Income" prompt="List here anticipated income that will vary proportionally with the number of people going on the tour e.g. tour T-shirts. You should budget for the number of tour participants as stated above in cell AD13." sqref="A76:O78"/>
    <dataValidation type="list" allowBlank="1" showInputMessage="1" showErrorMessage="1" promptTitle="Year" prompt="Select the year from the drop down menu." sqref="AE100:AF100">
      <formula1>years</formula1>
    </dataValidation>
    <dataValidation type="list" allowBlank="1" showInputMessage="1" showErrorMessage="1" promptTitle="Month" prompt="Select the month from the drop down menu." sqref="AC100:AD100">
      <formula1>months</formula1>
    </dataValidation>
    <dataValidation type="list" allowBlank="1" showInputMessage="1" showErrorMessage="1" promptTitle="Day of the month" prompt="Select from drop down menu." sqref="AA100:AB100">
      <formula1>days</formula1>
    </dataValidation>
    <dataValidation allowBlank="1" showInputMessage="1" showErrorMessage="1" promptTitle="Fixed Income" prompt="List here anticipated income that will remain the same irrespective of the number of people who actually go on the tour, e.g. sponsorship deals (this income will be the same if 9/10/11 people go on the tour)." sqref="A66:S70"/>
    <dataValidation type="list" allowBlank="1" showInputMessage="1" showErrorMessage="1" promptTitle="Income" prompt="Enter the Income head here.  This is the head that the money will pass through in your club accounts." sqref="AG66:AN70 AG74:AN78">
      <formula1>IncomeHeads</formula1>
    </dataValidation>
    <dataValidation type="list" allowBlank="1" showInputMessage="1" showErrorMessage="1" promptTitle="Expenditure" prompt="Input the Expenditure head here.  This is the category that the money will pass though in your club accounts." sqref="AG52:AN61">
      <formula1>ExpendHeads</formula1>
    </dataValidation>
    <dataValidation allowBlank="1" showInputMessage="1" showErrorMessage="1" promptTitle="Number of Units Per Person" prompt="Enter the number of times this cost will be incurred by each person on the tour._x000a_" sqref="V52:Y61"/>
    <dataValidation type="list" allowBlank="1" showInputMessage="1" showErrorMessage="1" promptTitle="Number of Units" prompt="Enter the quantity here." sqref="X35:Y44">
      <formula1>number</formula1>
    </dataValidation>
    <dataValidation type="list" allowBlank="1" showInputMessage="1" showErrorMessage="1" promptTitle="Expenditure" prompt="Input the Expenditure head here.  This is the catagory which the money will pass through in your club accounts." sqref="AG35:AN44">
      <formula1>ExpendHeads</formula1>
    </dataValidation>
    <dataValidation type="whole" allowBlank="1" showInputMessage="1" showErrorMessage="1" errorTitle="Whole Number Must be Entered" error="You can only have whole numbers of people going on tour.  " promptTitle="ICU Student Members" prompt="Enter the number of people planning to go on your tour who are eligible for ICU subsidy." sqref="AK16:AN16">
      <formula1>number</formula1>
      <formula2>number</formula2>
    </dataValidation>
    <dataValidation type="whole" allowBlank="1" showInputMessage="1" showErrorMessage="1" errorTitle="Whole Number Must be Entered" error="You can only have whole numbers of people going on tour.  " promptTitle="Other Tour Participants" prompt="Enter the number of people planning to go on your tour who are not eligible for ICU subsidy." sqref="AK17:AN17">
      <formula1>number</formula1>
      <formula2>number</formula2>
    </dataValidation>
    <dataValidation type="list" allowBlank="1" showInputMessage="1" showErrorMessage="1" errorTitle="Travel Dates" promptTitle="Tour Dates" prompt="Select the day of the month from the drop down menu." sqref="O18:P18">
      <formula1>days</formula1>
    </dataValidation>
    <dataValidation type="list" allowBlank="1" showInputMessage="1" showErrorMessage="1" promptTitle="Tour Dates" prompt="Select a month from the drop down list." sqref="I18:J18">
      <formula1>months</formula1>
    </dataValidation>
    <dataValidation type="list" allowBlank="1" showInputMessage="1" showErrorMessage="1" promptTitle="Tour Dates" prompt="Select a year from the drop down menu." sqref="K18:L18 S18:T18">
      <formula1>years</formula1>
    </dataValidation>
    <dataValidation allowBlank="1" showInputMessage="1" showErrorMessage="1" promptTitle="Country" prompt="Type in the country or countries in which your tour plans to take place." sqref="E17:AA17"/>
    <dataValidation allowBlank="1" showInputMessage="1" showErrorMessage="1" promptTitle="Tour Destination" prompt="Type in the name or names of places where your tour proposes to stay." sqref="E16:AA16"/>
    <dataValidation type="list" allowBlank="1" showInputMessage="1" showErrorMessage="1" errorTitle="Travel Dates" promptTitle="Tour Dates" prompt="Select the day of the month from the drop down menu." sqref="G18:H18">
      <formula1>days</formula1>
    </dataValidation>
    <dataValidation allowBlank="1" showInputMessage="1" showErrorMessage="1" promptTitle="E-Mail Address" prompt="Type in the e-mail address of the tour leader here missing @imperial.ac.uk off the end._x000a_" sqref="H13:U13"/>
    <dataValidation type="list" allowBlank="1" showInputMessage="1" showErrorMessage="1" promptTitle="Committtee Position" prompt="Select your committee position held by the tour leader from the drop down menu or type it in." sqref="H12:AA12">
      <formula1>compos</formula1>
    </dataValidation>
    <dataValidation allowBlank="1" showInputMessage="1" showErrorMessage="1" promptTitle="Name of Tour Leader" prompt="Type the name of the person leading the tour here." sqref="H11:AA11"/>
    <dataValidation type="list" allowBlank="1" showInputMessage="1" showErrorMessage="1" errorTitle="Club Code" error="This should be a three digit number" promptTitle="Club Code" prompt="Select your three digit club code number from the drop down menu." sqref="H7:K7">
      <formula1>clubcode</formula1>
    </dataValidation>
  </dataValidations>
  <hyperlinks>
    <hyperlink ref="A103:AN104" r:id="rId1" display="Now go to the &quot;tour proposal&quot; worksheet and check everything is as you intended it to be. If you need to change anything you'll need to come back and alter the information on this page.  Once everything is as you intend, submit your tour proposal to CSB t"/>
  </hyperlinks>
  <pageMargins left="0.75" right="0.75" top="1" bottom="1" header="0.5" footer="0.5"/>
  <pageSetup paperSize="9" scale="43"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sheetPr codeName="Sheet2">
    <pageSetUpPr fitToPage="1"/>
  </sheetPr>
  <dimension ref="A1:AN85"/>
  <sheetViews>
    <sheetView workbookViewId="0">
      <pane ySplit="4" topLeftCell="A60" activePane="bottomLeft" state="frozen"/>
      <selection pane="bottomLeft" activeCell="G82" sqref="G82:I82"/>
    </sheetView>
  </sheetViews>
  <sheetFormatPr defaultRowHeight="15.75"/>
  <cols>
    <col min="1" max="1" width="2.42578125" style="52" customWidth="1"/>
    <col min="2" max="16" width="2.7109375" style="58" customWidth="1"/>
    <col min="17" max="33" width="2.7109375" style="57" customWidth="1"/>
    <col min="34" max="34" width="7.28515625" style="57" customWidth="1"/>
    <col min="35" max="35" width="6.28515625" style="54" hidden="1" customWidth="1"/>
    <col min="36" max="36" width="0.140625" style="58" hidden="1" customWidth="1"/>
    <col min="37" max="37" width="5.5703125" style="59" hidden="1" customWidth="1"/>
    <col min="38" max="38" width="5.42578125" style="58" hidden="1" customWidth="1"/>
    <col min="39" max="39" width="5.140625" style="58" hidden="1" customWidth="1"/>
    <col min="40" max="40" width="5.140625" style="57" hidden="1" customWidth="1"/>
    <col min="41" max="16384" width="9.140625" style="57"/>
  </cols>
  <sheetData>
    <row r="1" spans="1:39" ht="12.75" customHeight="1">
      <c r="A1" s="52" t="str">
        <f>$A$24</f>
        <v>Separate travel</v>
      </c>
      <c r="B1" s="53" t="s">
        <v>397</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4"/>
      <c r="AJ1" s="55"/>
      <c r="AK1" s="56"/>
      <c r="AL1" s="55"/>
      <c r="AM1" s="55"/>
    </row>
    <row r="2" spans="1:39" ht="40.5" customHeight="1">
      <c r="B2" s="611" t="s">
        <v>1138</v>
      </c>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row>
    <row r="3" spans="1:39" ht="7.5" customHeight="1"/>
    <row r="4" spans="1:39">
      <c r="A4" s="52" t="str">
        <f t="shared" ref="A4:A23" si="0">$A$24</f>
        <v>Separate travel</v>
      </c>
      <c r="B4" s="613" t="s">
        <v>390</v>
      </c>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row>
    <row r="5" spans="1:39" ht="7.5" customHeight="1">
      <c r="A5" s="52" t="str">
        <f t="shared" si="0"/>
        <v>Separate travel</v>
      </c>
    </row>
    <row r="6" spans="1:39" s="61" customFormat="1" ht="18" customHeight="1" thickBot="1">
      <c r="A6" s="52" t="str">
        <f t="shared" si="0"/>
        <v>Separate travel</v>
      </c>
      <c r="B6" s="614" t="s">
        <v>287</v>
      </c>
      <c r="C6" s="614"/>
      <c r="D6" s="614"/>
      <c r="E6" s="614"/>
      <c r="F6" s="614"/>
      <c r="G6" s="614"/>
      <c r="H6" s="614"/>
      <c r="I6" s="60"/>
      <c r="J6" s="60"/>
      <c r="K6" s="60"/>
      <c r="L6" s="60"/>
      <c r="M6" s="60"/>
      <c r="N6" s="60"/>
      <c r="O6" s="60"/>
      <c r="P6" s="60"/>
      <c r="AI6" s="62"/>
      <c r="AJ6" s="60"/>
      <c r="AK6" s="63"/>
      <c r="AL6" s="60"/>
      <c r="AM6" s="60"/>
    </row>
    <row r="7" spans="1:39" s="61" customFormat="1" ht="18" customHeight="1">
      <c r="A7" s="52" t="str">
        <f t="shared" si="0"/>
        <v>Separate travel</v>
      </c>
      <c r="B7" s="600" t="str">
        <f>'Tour Application Form'!L7</f>
        <v>Club / Society</v>
      </c>
      <c r="C7" s="601"/>
      <c r="D7" s="601"/>
      <c r="E7" s="601"/>
      <c r="F7" s="601"/>
      <c r="G7" s="601"/>
      <c r="H7" s="601"/>
      <c r="I7" s="615" t="str">
        <f>'Tour Application Form'!R7</f>
        <v>RSM De La Beche</v>
      </c>
      <c r="J7" s="616"/>
      <c r="K7" s="616"/>
      <c r="L7" s="616"/>
      <c r="M7" s="616"/>
      <c r="N7" s="616"/>
      <c r="O7" s="616"/>
      <c r="P7" s="616"/>
      <c r="Q7" s="616"/>
      <c r="R7" s="616"/>
      <c r="S7" s="616"/>
      <c r="T7" s="616"/>
      <c r="U7" s="616"/>
      <c r="V7" s="616"/>
      <c r="W7" s="616"/>
      <c r="X7" s="616"/>
      <c r="Y7" s="616"/>
      <c r="Z7" s="616"/>
      <c r="AA7" s="616"/>
      <c r="AB7" s="616"/>
      <c r="AC7" s="616"/>
      <c r="AD7" s="616"/>
      <c r="AE7" s="616"/>
      <c r="AF7" s="616"/>
      <c r="AG7" s="617"/>
      <c r="AH7" s="64"/>
      <c r="AI7" s="62"/>
      <c r="AJ7" s="60"/>
      <c r="AK7" s="63"/>
      <c r="AL7" s="60"/>
      <c r="AM7" s="60"/>
    </row>
    <row r="8" spans="1:39" s="61" customFormat="1" ht="18" customHeight="1" thickBot="1">
      <c r="A8" s="52" t="str">
        <f t="shared" si="0"/>
        <v>Separate travel</v>
      </c>
      <c r="B8" s="578" t="s">
        <v>213</v>
      </c>
      <c r="C8" s="579"/>
      <c r="D8" s="579"/>
      <c r="E8" s="579"/>
      <c r="F8" s="579"/>
      <c r="G8" s="579"/>
      <c r="H8" s="579"/>
      <c r="I8" s="608" t="str">
        <f>'Tour Application Form'!H8</f>
        <v>RSM Exec</v>
      </c>
      <c r="J8" s="609"/>
      <c r="K8" s="609"/>
      <c r="L8" s="609"/>
      <c r="M8" s="609"/>
      <c r="N8" s="609"/>
      <c r="O8" s="609"/>
      <c r="P8" s="609"/>
      <c r="Q8" s="609"/>
      <c r="R8" s="609"/>
      <c r="S8" s="609"/>
      <c r="T8" s="609"/>
      <c r="U8" s="609"/>
      <c r="V8" s="609"/>
      <c r="W8" s="609"/>
      <c r="X8" s="609"/>
      <c r="Y8" s="609"/>
      <c r="Z8" s="609"/>
      <c r="AA8" s="609"/>
      <c r="AB8" s="609"/>
      <c r="AC8" s="609"/>
      <c r="AD8" s="609"/>
      <c r="AE8" s="609"/>
      <c r="AF8" s="609"/>
      <c r="AG8" s="610"/>
      <c r="AH8" s="65"/>
      <c r="AI8" s="62"/>
      <c r="AJ8" s="60"/>
      <c r="AK8" s="63"/>
      <c r="AL8" s="60"/>
      <c r="AM8" s="60"/>
    </row>
    <row r="9" spans="1:39" s="61" customFormat="1" ht="6.95" customHeight="1">
      <c r="A9" s="52" t="str">
        <f t="shared" si="0"/>
        <v>Separate travel</v>
      </c>
      <c r="C9" s="66"/>
      <c r="E9" s="60"/>
      <c r="F9" s="60"/>
      <c r="G9" s="60"/>
      <c r="H9" s="60"/>
      <c r="I9" s="60"/>
      <c r="J9" s="60"/>
      <c r="K9" s="60"/>
      <c r="L9" s="60"/>
      <c r="M9" s="60"/>
      <c r="N9" s="60"/>
      <c r="O9" s="60"/>
      <c r="P9" s="60"/>
      <c r="AI9" s="62"/>
      <c r="AJ9" s="60"/>
      <c r="AK9" s="63"/>
      <c r="AL9" s="60"/>
      <c r="AM9" s="60"/>
    </row>
    <row r="10" spans="1:39" s="61" customFormat="1" ht="18" customHeight="1" thickBot="1">
      <c r="A10" s="52" t="str">
        <f t="shared" si="0"/>
        <v>Separate travel</v>
      </c>
      <c r="B10" s="598" t="s">
        <v>215</v>
      </c>
      <c r="C10" s="598"/>
      <c r="D10" s="598"/>
      <c r="E10" s="598"/>
      <c r="F10" s="598"/>
      <c r="G10" s="598"/>
      <c r="H10" s="60"/>
      <c r="I10" s="60"/>
      <c r="J10" s="60"/>
      <c r="K10" s="60"/>
      <c r="L10" s="60"/>
      <c r="M10" s="60"/>
      <c r="N10" s="60"/>
      <c r="O10" s="60"/>
      <c r="P10" s="60"/>
      <c r="Q10" s="60"/>
      <c r="R10" s="60"/>
      <c r="S10" s="60"/>
      <c r="T10" s="60"/>
      <c r="U10" s="60"/>
      <c r="V10" s="60"/>
      <c r="W10" s="60"/>
      <c r="X10" s="60"/>
      <c r="Y10" s="60"/>
      <c r="Z10" s="60"/>
      <c r="AA10" s="60"/>
      <c r="AB10" s="60"/>
      <c r="AC10" s="599" t="s">
        <v>221</v>
      </c>
      <c r="AD10" s="599"/>
      <c r="AE10" s="599"/>
      <c r="AF10" s="599"/>
      <c r="AG10" s="599"/>
      <c r="AH10" s="66"/>
      <c r="AI10" s="62"/>
      <c r="AJ10" s="60"/>
      <c r="AK10" s="63"/>
      <c r="AL10" s="60"/>
      <c r="AM10" s="60"/>
    </row>
    <row r="11" spans="1:39" s="61" customFormat="1" ht="18" customHeight="1">
      <c r="A11" s="52" t="str">
        <f t="shared" si="0"/>
        <v>Separate travel</v>
      </c>
      <c r="B11" s="569" t="s">
        <v>216</v>
      </c>
      <c r="C11" s="570"/>
      <c r="D11" s="570"/>
      <c r="E11" s="570"/>
      <c r="F11" s="570"/>
      <c r="G11" s="570"/>
      <c r="H11" s="571"/>
      <c r="I11" s="572" t="str">
        <f>IF('Tour Application Form'!H11="","",'Tour Application Form'!H11)</f>
        <v>Kirsty Reynolds</v>
      </c>
      <c r="J11" s="573"/>
      <c r="K11" s="573"/>
      <c r="L11" s="573"/>
      <c r="M11" s="573"/>
      <c r="N11" s="573"/>
      <c r="O11" s="573"/>
      <c r="P11" s="573"/>
      <c r="Q11" s="573"/>
      <c r="R11" s="573"/>
      <c r="S11" s="573"/>
      <c r="T11" s="573"/>
      <c r="U11" s="573"/>
      <c r="V11" s="573"/>
      <c r="W11" s="574"/>
      <c r="Y11" s="575" t="str">
        <f>IF('Tour Application Form'!AC11=0,"",'Tour Application Form'!AC11)</f>
        <v>Between 16th Nov &amp; 15th Feb</v>
      </c>
      <c r="Z11" s="576"/>
      <c r="AA11" s="576"/>
      <c r="AB11" s="576"/>
      <c r="AC11" s="576"/>
      <c r="AD11" s="576"/>
      <c r="AE11" s="576"/>
      <c r="AF11" s="576"/>
      <c r="AG11" s="577"/>
      <c r="AH11" s="67"/>
      <c r="AI11" s="62"/>
      <c r="AJ11" s="60"/>
      <c r="AK11" s="63"/>
      <c r="AL11" s="60"/>
      <c r="AM11" s="60"/>
    </row>
    <row r="12" spans="1:39" s="61" customFormat="1" ht="18" customHeight="1">
      <c r="A12" s="52" t="str">
        <f t="shared" si="0"/>
        <v>Separate travel</v>
      </c>
      <c r="B12" s="584" t="s">
        <v>217</v>
      </c>
      <c r="C12" s="585"/>
      <c r="D12" s="585"/>
      <c r="E12" s="585"/>
      <c r="F12" s="585"/>
      <c r="G12" s="585"/>
      <c r="H12" s="585"/>
      <c r="I12" s="618" t="str">
        <f>IF('Tour Application Form'!H12="","",'Tour Application Form'!H12)</f>
        <v>President</v>
      </c>
      <c r="J12" s="619"/>
      <c r="K12" s="619"/>
      <c r="L12" s="619"/>
      <c r="M12" s="619"/>
      <c r="N12" s="619"/>
      <c r="O12" s="619"/>
      <c r="P12" s="619"/>
      <c r="Q12" s="619"/>
      <c r="R12" s="619"/>
      <c r="S12" s="619"/>
      <c r="T12" s="619"/>
      <c r="U12" s="619"/>
      <c r="V12" s="619"/>
      <c r="W12" s="620"/>
      <c r="Y12" s="621" t="str">
        <f>'Tour Application Form'!AC12</f>
        <v>WINTER</v>
      </c>
      <c r="Z12" s="622"/>
      <c r="AA12" s="622"/>
      <c r="AB12" s="622"/>
      <c r="AC12" s="622"/>
      <c r="AD12" s="622"/>
      <c r="AE12" s="622"/>
      <c r="AF12" s="622"/>
      <c r="AG12" s="623"/>
      <c r="AH12" s="68"/>
      <c r="AI12" s="62"/>
      <c r="AJ12" s="60"/>
      <c r="AK12" s="63"/>
      <c r="AL12" s="60"/>
      <c r="AM12" s="60"/>
    </row>
    <row r="13" spans="1:39" s="61" customFormat="1" ht="18" customHeight="1" thickBot="1">
      <c r="A13" s="52" t="str">
        <f t="shared" si="0"/>
        <v>Separate travel</v>
      </c>
      <c r="B13" s="578" t="s">
        <v>218</v>
      </c>
      <c r="C13" s="579"/>
      <c r="D13" s="579"/>
      <c r="E13" s="579"/>
      <c r="F13" s="579"/>
      <c r="G13" s="580" t="str">
        <f>IF('Tour Application Form'!H13="","",'Tour Application Form'!H13)</f>
        <v>kirsty.reynolds07</v>
      </c>
      <c r="H13" s="581"/>
      <c r="I13" s="581"/>
      <c r="J13" s="581"/>
      <c r="K13" s="581"/>
      <c r="L13" s="581"/>
      <c r="M13" s="581"/>
      <c r="N13" s="581"/>
      <c r="O13" s="581"/>
      <c r="P13" s="69" t="s">
        <v>219</v>
      </c>
      <c r="Q13" s="582" t="s">
        <v>220</v>
      </c>
      <c r="R13" s="582"/>
      <c r="S13" s="582"/>
      <c r="T13" s="582"/>
      <c r="U13" s="582"/>
      <c r="V13" s="582"/>
      <c r="W13" s="583"/>
      <c r="Y13" s="624"/>
      <c r="Z13" s="625"/>
      <c r="AA13" s="625"/>
      <c r="AB13" s="625"/>
      <c r="AC13" s="625"/>
      <c r="AD13" s="625"/>
      <c r="AE13" s="625"/>
      <c r="AF13" s="625"/>
      <c r="AG13" s="626"/>
      <c r="AH13" s="68"/>
      <c r="AI13" s="62"/>
      <c r="AJ13" s="60"/>
      <c r="AK13" s="63"/>
      <c r="AL13" s="60"/>
      <c r="AM13" s="60"/>
    </row>
    <row r="14" spans="1:39" s="61" customFormat="1" ht="6.95" customHeight="1">
      <c r="A14" s="52" t="str">
        <f t="shared" si="0"/>
        <v>Separate travel</v>
      </c>
      <c r="B14" s="60"/>
      <c r="C14" s="60"/>
      <c r="D14" s="60"/>
      <c r="E14" s="60"/>
      <c r="F14" s="60"/>
      <c r="G14" s="60"/>
      <c r="H14" s="60"/>
      <c r="I14" s="60"/>
      <c r="J14" s="60"/>
      <c r="K14" s="60"/>
      <c r="L14" s="60"/>
      <c r="M14" s="60"/>
      <c r="N14" s="60"/>
      <c r="O14" s="60"/>
      <c r="P14" s="60"/>
      <c r="AI14" s="62"/>
      <c r="AJ14" s="60"/>
      <c r="AK14" s="63"/>
      <c r="AL14" s="60"/>
      <c r="AM14" s="60"/>
    </row>
    <row r="15" spans="1:39" s="61" customFormat="1" ht="18" customHeight="1" thickBot="1">
      <c r="A15" s="52" t="str">
        <f t="shared" si="0"/>
        <v>Separate travel</v>
      </c>
      <c r="B15" s="598" t="s">
        <v>233</v>
      </c>
      <c r="C15" s="598"/>
      <c r="D15" s="598"/>
      <c r="E15" s="598"/>
      <c r="F15" s="598"/>
      <c r="G15" s="598"/>
      <c r="H15" s="60"/>
      <c r="I15" s="60"/>
      <c r="J15" s="60"/>
      <c r="K15" s="60"/>
      <c r="L15" s="60"/>
      <c r="M15" s="60"/>
      <c r="N15" s="60"/>
      <c r="O15" s="60"/>
      <c r="P15" s="60"/>
      <c r="X15" s="599" t="s">
        <v>284</v>
      </c>
      <c r="Y15" s="599"/>
      <c r="Z15" s="599"/>
      <c r="AA15" s="599"/>
      <c r="AB15" s="599"/>
      <c r="AC15" s="599"/>
      <c r="AD15" s="599"/>
      <c r="AE15" s="599"/>
      <c r="AF15" s="599"/>
      <c r="AG15" s="599"/>
      <c r="AH15" s="66"/>
      <c r="AI15" s="62"/>
      <c r="AJ15" s="60"/>
      <c r="AK15" s="63"/>
      <c r="AL15" s="60"/>
      <c r="AM15" s="60"/>
    </row>
    <row r="16" spans="1:39" s="61" customFormat="1" ht="18" customHeight="1">
      <c r="A16" s="52" t="str">
        <f t="shared" si="0"/>
        <v>Separate travel</v>
      </c>
      <c r="B16" s="600" t="s">
        <v>234</v>
      </c>
      <c r="C16" s="601"/>
      <c r="D16" s="601"/>
      <c r="E16" s="601"/>
      <c r="F16" s="602" t="str">
        <f>IF('Tour Application Form'!E16="","",'Tour Application Form'!E16)</f>
        <v>Bude, Cornwall and surroundng areas</v>
      </c>
      <c r="G16" s="602"/>
      <c r="H16" s="602"/>
      <c r="I16" s="602"/>
      <c r="J16" s="602"/>
      <c r="K16" s="602"/>
      <c r="L16" s="602"/>
      <c r="M16" s="602"/>
      <c r="N16" s="602"/>
      <c r="O16" s="602"/>
      <c r="P16" s="602"/>
      <c r="Q16" s="602"/>
      <c r="R16" s="602"/>
      <c r="S16" s="602"/>
      <c r="T16" s="602"/>
      <c r="U16" s="602"/>
      <c r="V16" s="603"/>
      <c r="W16" s="60"/>
      <c r="X16" s="604" t="s">
        <v>283</v>
      </c>
      <c r="Y16" s="605"/>
      <c r="Z16" s="605"/>
      <c r="AA16" s="605"/>
      <c r="AB16" s="605"/>
      <c r="AC16" s="605"/>
      <c r="AD16" s="605"/>
      <c r="AE16" s="606">
        <f>IF('Tour Application Form'!AK16="","",'Tour Application Form'!AK16)</f>
        <v>30</v>
      </c>
      <c r="AF16" s="606"/>
      <c r="AG16" s="607"/>
      <c r="AH16" s="70"/>
      <c r="AI16" s="62"/>
      <c r="AJ16" s="60"/>
      <c r="AK16" s="63"/>
      <c r="AL16" s="60"/>
      <c r="AM16" s="60"/>
    </row>
    <row r="17" spans="1:40" s="61" customFormat="1" ht="18" customHeight="1">
      <c r="A17" s="52" t="str">
        <f t="shared" si="0"/>
        <v>Separate travel</v>
      </c>
      <c r="B17" s="584" t="s">
        <v>238</v>
      </c>
      <c r="C17" s="585"/>
      <c r="D17" s="585"/>
      <c r="E17" s="585"/>
      <c r="F17" s="596" t="str">
        <f>IF('Tour Application Form'!E17="","",'Tour Application Form'!E17)</f>
        <v>UK</v>
      </c>
      <c r="G17" s="596"/>
      <c r="H17" s="596"/>
      <c r="I17" s="596"/>
      <c r="J17" s="596"/>
      <c r="K17" s="596"/>
      <c r="L17" s="596"/>
      <c r="M17" s="596"/>
      <c r="N17" s="596"/>
      <c r="O17" s="596"/>
      <c r="P17" s="596"/>
      <c r="Q17" s="596"/>
      <c r="R17" s="596"/>
      <c r="S17" s="596"/>
      <c r="T17" s="596"/>
      <c r="U17" s="596"/>
      <c r="V17" s="597"/>
      <c r="X17" s="629" t="s">
        <v>352</v>
      </c>
      <c r="Y17" s="630"/>
      <c r="Z17" s="630"/>
      <c r="AA17" s="630"/>
      <c r="AB17" s="630"/>
      <c r="AC17" s="630"/>
      <c r="AD17" s="631"/>
      <c r="AE17" s="586">
        <f>IF('Tour Application Form'!AK17="","",'Tour Application Form'!AK17)</f>
        <v>0</v>
      </c>
      <c r="AF17" s="586"/>
      <c r="AG17" s="587"/>
      <c r="AH17" s="71"/>
      <c r="AI17" s="62"/>
      <c r="AJ17" s="60"/>
      <c r="AK17" s="63"/>
      <c r="AL17" s="60"/>
      <c r="AM17" s="60"/>
    </row>
    <row r="18" spans="1:40" s="61" customFormat="1" ht="18" customHeight="1" thickBot="1">
      <c r="A18" s="52" t="str">
        <f t="shared" si="0"/>
        <v>Separate travel</v>
      </c>
      <c r="B18" s="72" t="s">
        <v>235</v>
      </c>
      <c r="C18" s="73"/>
      <c r="D18" s="74"/>
      <c r="E18" s="74"/>
      <c r="F18" s="638" t="s">
        <v>236</v>
      </c>
      <c r="G18" s="627"/>
      <c r="H18" s="581" t="str">
        <f>IF('Tour Application Form'!G18="","",'Tour Application Form'!G18)</f>
        <v>25th</v>
      </c>
      <c r="I18" s="581"/>
      <c r="J18" s="609" t="str">
        <f>IF('Tour Application Form'!I18="","",'Tour Application Form'!I18)</f>
        <v>Jan</v>
      </c>
      <c r="K18" s="609"/>
      <c r="L18" s="628">
        <f>IF('Tour Application Form'!K18="","",'Tour Application Form'!K18)</f>
        <v>2011</v>
      </c>
      <c r="M18" s="628"/>
      <c r="N18" s="627" t="s">
        <v>237</v>
      </c>
      <c r="O18" s="627"/>
      <c r="P18" s="581" t="str">
        <f>IF('Tour Application Form'!O18="","",'Tour Application Form'!O18)</f>
        <v>27th</v>
      </c>
      <c r="Q18" s="581"/>
      <c r="R18" s="609" t="str">
        <f>IF('Tour Application Form'!Q18="","",'Tour Application Form'!Q18)</f>
        <v>Jan</v>
      </c>
      <c r="S18" s="609"/>
      <c r="T18" s="628">
        <f>IF('Tour Application Form'!S18="","",'Tour Application Form'!S18)</f>
        <v>2011</v>
      </c>
      <c r="U18" s="628"/>
      <c r="V18" s="75"/>
      <c r="W18" s="76"/>
      <c r="X18" s="588" t="s">
        <v>285</v>
      </c>
      <c r="Y18" s="589"/>
      <c r="Z18" s="589"/>
      <c r="AA18" s="589"/>
      <c r="AB18" s="589"/>
      <c r="AC18" s="589"/>
      <c r="AD18" s="590"/>
      <c r="AE18" s="591">
        <f>IF('Tour Application Form'!AK18="","",'Tour Application Form'!AK18)</f>
        <v>30</v>
      </c>
      <c r="AF18" s="591"/>
      <c r="AG18" s="592"/>
      <c r="AH18" s="71"/>
      <c r="AI18" s="62"/>
      <c r="AJ18" s="60"/>
      <c r="AK18" s="63"/>
      <c r="AL18" s="60"/>
      <c r="AM18" s="60"/>
    </row>
    <row r="19" spans="1:40" s="61" customFormat="1" ht="6.95" customHeight="1">
      <c r="A19" s="52" t="str">
        <f t="shared" si="0"/>
        <v>Separate travel</v>
      </c>
      <c r="B19" s="60"/>
      <c r="C19" s="60"/>
      <c r="D19" s="60"/>
      <c r="E19" s="60"/>
      <c r="F19" s="60"/>
      <c r="G19" s="60"/>
      <c r="H19" s="60"/>
      <c r="I19" s="60"/>
      <c r="J19" s="60"/>
      <c r="K19" s="60"/>
      <c r="L19" s="60"/>
      <c r="M19" s="60"/>
      <c r="N19" s="60"/>
      <c r="O19" s="60"/>
      <c r="P19" s="60"/>
      <c r="AI19" s="62"/>
      <c r="AJ19" s="60"/>
      <c r="AK19" s="63"/>
      <c r="AL19" s="60"/>
      <c r="AM19" s="60"/>
    </row>
    <row r="20" spans="1:40" ht="16.5" thickBot="1">
      <c r="A20" s="52" t="str">
        <f t="shared" si="0"/>
        <v>Separate travel</v>
      </c>
      <c r="B20" s="58" t="s">
        <v>288</v>
      </c>
    </row>
    <row r="21" spans="1:40" ht="144.75" customHeight="1" thickBot="1">
      <c r="A21" s="52" t="str">
        <f t="shared" si="0"/>
        <v>Separate travel</v>
      </c>
      <c r="B21" s="593" t="str">
        <f>IF('Tour Application Form'!AO16="",IF('Tour Application Form'!A21="","",'Tour Application Form'!A21),"THIS IS NOT A VALID TOUR AND CANNOT BE FUNDED, IT DOESN'T HAVE ENOUGH PEOPLE GOING")</f>
        <v>The aim of the De La Beche Club winter tour is to examine some exciting and unusual geological sites that undergraduates would not normally visit or hear about in the course of their studies. We aim to investigate both classical geology sites and one related to economic geology. On this trip, we will examine the igneous and metamorphic geology of Cornwall, as well as visiting a mine site. An ex-RSM lecturer will lead the trip. The exact itinerary is still to be confirmed with the trip leader. NB. It is possible that the trip location may have to change, depending on what time the trip leaves London. We are in discussion with our department to find out if it is possible to leave at 12pm on the Friday. If this is not possible, the location will be changed to somewhere closer to London, most likely Malvern or the Breacon Beacons. However this would not drastically alter the trip budget &amp;#8211; the transport costs would still be the same and accommodation quotes are similar, as are the aims of the trip.</v>
      </c>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5"/>
      <c r="AH21" s="77"/>
    </row>
    <row r="22" spans="1:40" ht="6.95" customHeight="1">
      <c r="A22" s="52" t="str">
        <f t="shared" si="0"/>
        <v>Separate travel</v>
      </c>
      <c r="B22" s="78"/>
    </row>
    <row r="23" spans="1:40">
      <c r="A23" s="52" t="str">
        <f t="shared" si="0"/>
        <v>Separate travel</v>
      </c>
      <c r="B23" s="58" t="s">
        <v>289</v>
      </c>
    </row>
    <row r="24" spans="1:40">
      <c r="A24" s="52" t="str">
        <f>IF(AI24=$AI$24,"Separate travel",IF(AI24=$AI$49,"",""))</f>
        <v>Separate travel</v>
      </c>
      <c r="B24" s="79" t="s">
        <v>355</v>
      </c>
      <c r="C24" s="80"/>
      <c r="D24" s="80"/>
      <c r="E24" s="80"/>
      <c r="F24" s="80"/>
      <c r="G24" s="80"/>
      <c r="H24" s="80"/>
      <c r="I24" s="80"/>
      <c r="J24" s="80"/>
      <c r="K24" s="80"/>
      <c r="L24" s="80"/>
      <c r="M24" s="80"/>
      <c r="N24" s="80"/>
      <c r="O24" s="80"/>
      <c r="P24" s="80"/>
      <c r="Q24" s="80"/>
      <c r="R24" s="80"/>
      <c r="S24" s="80"/>
      <c r="T24" s="80"/>
      <c r="U24" s="80"/>
      <c r="V24" s="81"/>
      <c r="W24" s="80"/>
      <c r="X24" s="80"/>
      <c r="Y24" s="80"/>
      <c r="Z24" s="568" t="s">
        <v>388</v>
      </c>
      <c r="AA24" s="568"/>
      <c r="AB24" s="568"/>
      <c r="AC24" s="568"/>
      <c r="AD24" s="568" t="s">
        <v>290</v>
      </c>
      <c r="AE24" s="568"/>
      <c r="AF24" s="568"/>
      <c r="AG24" s="568"/>
      <c r="AI24" s="82" t="s">
        <v>353</v>
      </c>
      <c r="AJ24" s="58" t="s">
        <v>1031</v>
      </c>
      <c r="AK24" s="83" t="s">
        <v>357</v>
      </c>
      <c r="AL24" s="84" t="s">
        <v>353</v>
      </c>
      <c r="AM24" s="84" t="s">
        <v>1031</v>
      </c>
      <c r="AN24" s="83" t="s">
        <v>362</v>
      </c>
    </row>
    <row r="25" spans="1:40" ht="15" customHeight="1">
      <c r="A25" s="52" t="str">
        <f t="shared" ref="A25:A44" si="1">IF(AI25=$AI$24,"Separate travel",IF(AI25=$AI$49,"",""))</f>
        <v>Separate travel</v>
      </c>
      <c r="B25" s="79" t="str">
        <f>'Tour Application Form'!A35</f>
        <v>2 mini buses hired for 3 days</v>
      </c>
      <c r="C25" s="80"/>
      <c r="D25" s="80"/>
      <c r="E25" s="80"/>
      <c r="F25" s="80"/>
      <c r="G25" s="80"/>
      <c r="H25" s="80"/>
      <c r="I25" s="80"/>
      <c r="J25" s="80"/>
      <c r="K25" s="80"/>
      <c r="L25" s="80"/>
      <c r="M25" s="80"/>
      <c r="N25" s="80"/>
      <c r="O25" s="80"/>
      <c r="P25" s="80"/>
      <c r="Q25" s="80"/>
      <c r="R25" s="80"/>
      <c r="S25" s="80"/>
      <c r="T25" s="80"/>
      <c r="U25" s="80"/>
      <c r="V25" s="81"/>
      <c r="W25" s="80"/>
      <c r="X25" s="80"/>
      <c r="Y25" s="80"/>
      <c r="Z25" s="503">
        <f>IF(AD25="","",AD25/'Tour Application Form'!$AK$18)</f>
        <v>14.666666666666666</v>
      </c>
      <c r="AA25" s="503"/>
      <c r="AB25" s="503"/>
      <c r="AC25" s="503"/>
      <c r="AD25" s="559">
        <f>IF('Tour Application Form'!AC35=0,"",'Tour Application Form'!AC35)</f>
        <v>440</v>
      </c>
      <c r="AE25" s="560"/>
      <c r="AF25" s="560"/>
      <c r="AG25" s="561"/>
      <c r="AI25" s="82" t="str">
        <f>IF(AD25="","",IF('Tour Application Form'!AG35="Travel",Lists!$Q$1,Lists!$Q$2))</f>
        <v>Travel</v>
      </c>
      <c r="AJ25" s="58" t="str">
        <f>IF(AD25="","",IF('Tour Application Form'!AO35=TRUE,Lists!$Q$3,""))</f>
        <v/>
      </c>
      <c r="AK25" s="83" t="str">
        <f>Lists!$Q$1</f>
        <v>Travel</v>
      </c>
      <c r="AL25" s="84">
        <f>(IF(AI25=Lists!$Q$1,AD25,"0"))-AM25</f>
        <v>440</v>
      </c>
      <c r="AM25" s="85" t="str">
        <f>IF(AJ25=Lists!$Q$3,AD25,"0")</f>
        <v>0</v>
      </c>
      <c r="AN25" s="84" t="str">
        <f>IF(AI25=Lists!$Q$2,AD25,"")</f>
        <v/>
      </c>
    </row>
    <row r="26" spans="1:40" ht="15" customHeight="1">
      <c r="A26" s="52" t="str">
        <f t="shared" ca="1" si="1"/>
        <v/>
      </c>
      <c r="B26" s="79" t="str">
        <f>'Tour Application Form'!A36</f>
        <v>accommodation</v>
      </c>
      <c r="C26" s="80"/>
      <c r="D26" s="80"/>
      <c r="E26" s="80"/>
      <c r="F26" s="80"/>
      <c r="G26" s="80"/>
      <c r="H26" s="80"/>
      <c r="I26" s="80"/>
      <c r="J26" s="80"/>
      <c r="K26" s="80"/>
      <c r="L26" s="80"/>
      <c r="M26" s="80"/>
      <c r="N26" s="80"/>
      <c r="O26" s="80"/>
      <c r="P26" s="80"/>
      <c r="Q26" s="80"/>
      <c r="R26" s="80"/>
      <c r="S26" s="80"/>
      <c r="T26" s="80"/>
      <c r="U26" s="80"/>
      <c r="V26" s="81"/>
      <c r="W26" s="80"/>
      <c r="X26" s="80"/>
      <c r="Y26" s="80"/>
      <c r="Z26" s="503">
        <f ca="1">IF(AD26="","",AD26/'Tour Application Form'!$AK$18)</f>
        <v>25.531914893617021</v>
      </c>
      <c r="AA26" s="503"/>
      <c r="AB26" s="503"/>
      <c r="AC26" s="503"/>
      <c r="AD26" s="559">
        <f ca="1">IF('Tour Application Form'!AC36=0,"",'Tour Application Form'!AC36)</f>
        <v>765.95744680851067</v>
      </c>
      <c r="AE26" s="560"/>
      <c r="AF26" s="560"/>
      <c r="AG26" s="561"/>
      <c r="AI26" s="82" t="str">
        <f ca="1">IF(AD26="","",IF('Tour Application Form'!AG36="Travel",Lists!$Q$1,Lists!$Q$2))</f>
        <v>Non-Travel</v>
      </c>
      <c r="AJ26" s="58" t="str">
        <f ca="1">IF(AD26="","",IF('Tour Application Form'!AO36=TRUE,Lists!$Q$3,""))</f>
        <v/>
      </c>
      <c r="AK26" s="83" t="str">
        <f>Lists!$Q$1</f>
        <v>Travel</v>
      </c>
      <c r="AL26" s="84">
        <f ca="1">(IF(AI26=Lists!$Q$1,AD26,"0"))-AM26</f>
        <v>0</v>
      </c>
      <c r="AM26" s="85" t="str">
        <f ca="1">IF(AJ26=Lists!$Q$3,AD26,"0")</f>
        <v>0</v>
      </c>
      <c r="AN26" s="84">
        <f ca="1">IF(AI26=Lists!$Q$2,AD26,"")</f>
        <v>765.95744680851067</v>
      </c>
    </row>
    <row r="27" spans="1:40" ht="15" customHeight="1">
      <c r="A27" s="52" t="str">
        <f t="shared" ca="1" si="1"/>
        <v/>
      </c>
      <c r="B27" s="79" t="str">
        <f>'Tour Application Form'!A37</f>
        <v>fuel</v>
      </c>
      <c r="C27" s="80"/>
      <c r="D27" s="80"/>
      <c r="E27" s="80"/>
      <c r="F27" s="80"/>
      <c r="G27" s="80"/>
      <c r="H27" s="80"/>
      <c r="I27" s="80"/>
      <c r="J27" s="80"/>
      <c r="K27" s="80"/>
      <c r="L27" s="80"/>
      <c r="M27" s="80"/>
      <c r="N27" s="80"/>
      <c r="O27" s="80"/>
      <c r="P27" s="80"/>
      <c r="Q27" s="80"/>
      <c r="R27" s="80"/>
      <c r="S27" s="80"/>
      <c r="T27" s="80"/>
      <c r="U27" s="80"/>
      <c r="V27" s="81"/>
      <c r="W27" s="80"/>
      <c r="X27" s="80"/>
      <c r="Y27" s="80"/>
      <c r="Z27" s="503">
        <f ca="1">IF(AD27="","",AD27/'Tour Application Form'!$AK$18)</f>
        <v>13.617021276595745</v>
      </c>
      <c r="AA27" s="503"/>
      <c r="AB27" s="503"/>
      <c r="AC27" s="503"/>
      <c r="AD27" s="559">
        <f ca="1">IF('Tour Application Form'!AC37=0,"",'Tour Application Form'!AC37)</f>
        <v>408.51063829787233</v>
      </c>
      <c r="AE27" s="560"/>
      <c r="AF27" s="560"/>
      <c r="AG27" s="561"/>
      <c r="AI27" s="82" t="str">
        <f ca="1">IF(AD27="","",IF('Tour Application Form'!AG37="Travel",Lists!$Q$1,Lists!$Q$2))</f>
        <v>Non-Travel</v>
      </c>
      <c r="AJ27" s="58" t="str">
        <f ca="1">IF(AD27="","",IF('Tour Application Form'!AO37=TRUE,Lists!$Q$3,""))</f>
        <v/>
      </c>
      <c r="AK27" s="83" t="str">
        <f>Lists!$Q$1</f>
        <v>Travel</v>
      </c>
      <c r="AL27" s="84">
        <f ca="1">(IF(AI27=Lists!$Q$1,AD27,"0"))-AM27</f>
        <v>0</v>
      </c>
      <c r="AM27" s="85" t="str">
        <f ca="1">IF(AJ27=Lists!$Q$3,AD27,"0")</f>
        <v>0</v>
      </c>
      <c r="AN27" s="84">
        <f ca="1">IF(AI27=Lists!$Q$2,AD27,"")</f>
        <v>408.51063829787233</v>
      </c>
    </row>
    <row r="28" spans="1:40" ht="15" customHeight="1">
      <c r="A28" s="52" t="str">
        <f t="shared" si="1"/>
        <v/>
      </c>
      <c r="B28" s="79">
        <f>'Tour Application Form'!A38</f>
        <v>0</v>
      </c>
      <c r="C28" s="80"/>
      <c r="D28" s="80"/>
      <c r="E28" s="80"/>
      <c r="F28" s="80"/>
      <c r="G28" s="80"/>
      <c r="H28" s="80"/>
      <c r="I28" s="80"/>
      <c r="J28" s="80"/>
      <c r="K28" s="80"/>
      <c r="L28" s="80"/>
      <c r="M28" s="80"/>
      <c r="N28" s="80"/>
      <c r="O28" s="80"/>
      <c r="P28" s="80"/>
      <c r="Q28" s="80"/>
      <c r="R28" s="80"/>
      <c r="S28" s="80"/>
      <c r="T28" s="80"/>
      <c r="U28" s="80"/>
      <c r="V28" s="81"/>
      <c r="W28" s="80"/>
      <c r="X28" s="80"/>
      <c r="Y28" s="80"/>
      <c r="Z28" s="503" t="str">
        <f>IF(AD28="","",AD28/'Tour Application Form'!$AK$18)</f>
        <v/>
      </c>
      <c r="AA28" s="503"/>
      <c r="AB28" s="503"/>
      <c r="AC28" s="503"/>
      <c r="AD28" s="559" t="str">
        <f>IF('Tour Application Form'!AC38=0,"",'Tour Application Form'!AC38)</f>
        <v/>
      </c>
      <c r="AE28" s="560"/>
      <c r="AF28" s="560"/>
      <c r="AG28" s="561"/>
      <c r="AI28" s="82" t="str">
        <f>IF(AD28="","",IF('Tour Application Form'!AG38="Travel",Lists!$Q$1,Lists!$Q$2))</f>
        <v/>
      </c>
      <c r="AJ28" s="58" t="str">
        <f>IF(AD28="","",IF('Tour Application Form'!AO38=TRUE,Lists!$Q$3,""))</f>
        <v/>
      </c>
      <c r="AK28" s="83" t="str">
        <f>Lists!$Q$1</f>
        <v>Travel</v>
      </c>
      <c r="AL28" s="84">
        <f>(IF(AI28=Lists!$Q$1,AD28,"0"))-AM28</f>
        <v>0</v>
      </c>
      <c r="AM28" s="85" t="str">
        <f>IF(AJ28=Lists!$Q$3,AD28,"0")</f>
        <v>0</v>
      </c>
      <c r="AN28" s="84" t="str">
        <f>IF(AI28=Lists!$Q$2,AD28,"")</f>
        <v/>
      </c>
    </row>
    <row r="29" spans="1:40" ht="15" customHeight="1">
      <c r="A29" s="52" t="str">
        <f t="shared" si="1"/>
        <v/>
      </c>
      <c r="B29" s="79">
        <f>'Tour Application Form'!A39</f>
        <v>0</v>
      </c>
      <c r="C29" s="80"/>
      <c r="D29" s="80"/>
      <c r="E29" s="80"/>
      <c r="F29" s="80"/>
      <c r="G29" s="80"/>
      <c r="H29" s="80"/>
      <c r="I29" s="80"/>
      <c r="J29" s="80"/>
      <c r="K29" s="80"/>
      <c r="L29" s="80"/>
      <c r="M29" s="80"/>
      <c r="N29" s="80"/>
      <c r="O29" s="80"/>
      <c r="P29" s="80"/>
      <c r="Q29" s="80"/>
      <c r="R29" s="80"/>
      <c r="S29" s="80"/>
      <c r="T29" s="80"/>
      <c r="U29" s="80"/>
      <c r="V29" s="81"/>
      <c r="W29" s="80"/>
      <c r="X29" s="80"/>
      <c r="Y29" s="80"/>
      <c r="Z29" s="503" t="str">
        <f>IF(AD29="","",AD29/'Tour Application Form'!$AK$18)</f>
        <v/>
      </c>
      <c r="AA29" s="503"/>
      <c r="AB29" s="503"/>
      <c r="AC29" s="503"/>
      <c r="AD29" s="559" t="str">
        <f>IF('Tour Application Form'!AC39=0,"",'Tour Application Form'!AC39)</f>
        <v/>
      </c>
      <c r="AE29" s="560"/>
      <c r="AF29" s="560"/>
      <c r="AG29" s="561"/>
      <c r="AI29" s="82" t="str">
        <f>IF(AD29="","",IF('Tour Application Form'!AG39="Travel",Lists!$Q$1,Lists!$Q$2))</f>
        <v/>
      </c>
      <c r="AJ29" s="58" t="str">
        <f>IF(AD29="","",IF('Tour Application Form'!AO39=TRUE,Lists!$Q$3,""))</f>
        <v/>
      </c>
      <c r="AK29" s="83" t="str">
        <f>Lists!$Q$1</f>
        <v>Travel</v>
      </c>
      <c r="AL29" s="84">
        <f>(IF(AI29=Lists!$Q$1,AD29,"0"))-AM29</f>
        <v>0</v>
      </c>
      <c r="AM29" s="85" t="str">
        <f>IF(AJ29=Lists!$Q$3,AD29,"0")</f>
        <v>0</v>
      </c>
      <c r="AN29" s="84" t="str">
        <f>IF(AI29=Lists!$Q$2,AD29,"")</f>
        <v/>
      </c>
    </row>
    <row r="30" spans="1:40" ht="15" customHeight="1">
      <c r="A30" s="52" t="str">
        <f t="shared" si="1"/>
        <v/>
      </c>
      <c r="B30" s="79">
        <f>'Tour Application Form'!A40</f>
        <v>0</v>
      </c>
      <c r="C30" s="80"/>
      <c r="D30" s="80"/>
      <c r="E30" s="80"/>
      <c r="F30" s="80"/>
      <c r="G30" s="80"/>
      <c r="H30" s="80"/>
      <c r="I30" s="80"/>
      <c r="J30" s="80"/>
      <c r="K30" s="80"/>
      <c r="L30" s="80"/>
      <c r="M30" s="80"/>
      <c r="N30" s="80"/>
      <c r="O30" s="80"/>
      <c r="P30" s="80"/>
      <c r="Q30" s="80"/>
      <c r="R30" s="80"/>
      <c r="S30" s="80"/>
      <c r="T30" s="80"/>
      <c r="U30" s="80"/>
      <c r="V30" s="81"/>
      <c r="W30" s="80"/>
      <c r="X30" s="80"/>
      <c r="Y30" s="80"/>
      <c r="Z30" s="503" t="str">
        <f>IF(AD30="","",AD30/'Tour Application Form'!$AK$18)</f>
        <v/>
      </c>
      <c r="AA30" s="503"/>
      <c r="AB30" s="503"/>
      <c r="AC30" s="503"/>
      <c r="AD30" s="559" t="str">
        <f>IF('Tour Application Form'!AC40=0,"",'Tour Application Form'!AC40)</f>
        <v/>
      </c>
      <c r="AE30" s="560"/>
      <c r="AF30" s="560"/>
      <c r="AG30" s="561"/>
      <c r="AI30" s="82" t="str">
        <f>IF(AD30="","",IF('Tour Application Form'!AG40="Travel",Lists!$Q$1,Lists!$Q$2))</f>
        <v/>
      </c>
      <c r="AJ30" s="58" t="str">
        <f>IF(AD30="","",IF('Tour Application Form'!AO40=TRUE,Lists!$Q$3,""))</f>
        <v/>
      </c>
      <c r="AK30" s="83" t="str">
        <f>Lists!$Q$1</f>
        <v>Travel</v>
      </c>
      <c r="AL30" s="84">
        <f>(IF(AI30=Lists!$Q$1,AD30,"0"))-AM30</f>
        <v>0</v>
      </c>
      <c r="AM30" s="85" t="str">
        <f>IF(AJ30=Lists!$Q$3,AD30,"0")</f>
        <v>0</v>
      </c>
      <c r="AN30" s="84" t="str">
        <f>IF(AI30=Lists!$Q$2,AD30,"")</f>
        <v/>
      </c>
    </row>
    <row r="31" spans="1:40" ht="15" customHeight="1">
      <c r="A31" s="52" t="str">
        <f t="shared" si="1"/>
        <v/>
      </c>
      <c r="B31" s="79">
        <f>'Tour Application Form'!A41</f>
        <v>0</v>
      </c>
      <c r="C31" s="80"/>
      <c r="D31" s="80"/>
      <c r="E31" s="80"/>
      <c r="F31" s="80"/>
      <c r="G31" s="80"/>
      <c r="H31" s="80"/>
      <c r="I31" s="80"/>
      <c r="J31" s="80"/>
      <c r="K31" s="80"/>
      <c r="L31" s="80"/>
      <c r="M31" s="80"/>
      <c r="N31" s="80"/>
      <c r="O31" s="80"/>
      <c r="P31" s="80"/>
      <c r="Q31" s="80"/>
      <c r="R31" s="80"/>
      <c r="S31" s="80"/>
      <c r="T31" s="80"/>
      <c r="U31" s="80"/>
      <c r="V31" s="81"/>
      <c r="W31" s="80"/>
      <c r="X31" s="80"/>
      <c r="Y31" s="80"/>
      <c r="Z31" s="503" t="str">
        <f>IF(AD31="","",AD31/'Tour Application Form'!$AK$18)</f>
        <v/>
      </c>
      <c r="AA31" s="503"/>
      <c r="AB31" s="503"/>
      <c r="AC31" s="503"/>
      <c r="AD31" s="559" t="str">
        <f>IF('Tour Application Form'!AC41=0,"",'Tour Application Form'!AC41)</f>
        <v/>
      </c>
      <c r="AE31" s="560"/>
      <c r="AF31" s="560"/>
      <c r="AG31" s="561"/>
      <c r="AI31" s="82" t="str">
        <f>IF(AD31="","",IF('Tour Application Form'!AG41="Travel",Lists!$Q$1,Lists!$Q$2))</f>
        <v/>
      </c>
      <c r="AJ31" s="58" t="str">
        <f>IF(AD31="","",IF('Tour Application Form'!AO41=TRUE,Lists!$Q$3,""))</f>
        <v/>
      </c>
      <c r="AK31" s="83" t="str">
        <f>Lists!$Q$1</f>
        <v>Travel</v>
      </c>
      <c r="AL31" s="84">
        <f>(IF(AI31=Lists!$Q$1,AD31,"0"))-AM31</f>
        <v>0</v>
      </c>
      <c r="AM31" s="85" t="str">
        <f>IF(AJ31=Lists!$Q$3,AD31,"0")</f>
        <v>0</v>
      </c>
      <c r="AN31" s="84" t="str">
        <f>IF(AI31=Lists!$Q$2,AD31,"")</f>
        <v/>
      </c>
    </row>
    <row r="32" spans="1:40" ht="15" customHeight="1">
      <c r="A32" s="52" t="str">
        <f t="shared" si="1"/>
        <v/>
      </c>
      <c r="B32" s="79">
        <f>'Tour Application Form'!A42</f>
        <v>0</v>
      </c>
      <c r="C32" s="80"/>
      <c r="D32" s="80"/>
      <c r="E32" s="80"/>
      <c r="F32" s="80"/>
      <c r="G32" s="80"/>
      <c r="H32" s="80"/>
      <c r="I32" s="80"/>
      <c r="J32" s="80"/>
      <c r="K32" s="80"/>
      <c r="L32" s="80"/>
      <c r="M32" s="80"/>
      <c r="N32" s="80"/>
      <c r="O32" s="80"/>
      <c r="P32" s="80"/>
      <c r="Q32" s="80"/>
      <c r="R32" s="80"/>
      <c r="S32" s="80"/>
      <c r="T32" s="80"/>
      <c r="U32" s="80"/>
      <c r="V32" s="81"/>
      <c r="W32" s="80"/>
      <c r="X32" s="80"/>
      <c r="Y32" s="80"/>
      <c r="Z32" s="503" t="str">
        <f>IF(AD32="","",AD32/'Tour Application Form'!$AK$18)</f>
        <v/>
      </c>
      <c r="AA32" s="503"/>
      <c r="AB32" s="503"/>
      <c r="AC32" s="503"/>
      <c r="AD32" s="559" t="str">
        <f>IF('Tour Application Form'!AC42=0,"",'Tour Application Form'!AC42)</f>
        <v/>
      </c>
      <c r="AE32" s="560"/>
      <c r="AF32" s="560"/>
      <c r="AG32" s="561"/>
      <c r="AI32" s="82" t="str">
        <f>IF(AD32="","",IF('Tour Application Form'!AG42="Travel",Lists!$Q$1,Lists!$Q$2))</f>
        <v/>
      </c>
      <c r="AJ32" s="58" t="str">
        <f>IF(AD32="","",IF('Tour Application Form'!AO42=TRUE,Lists!$Q$3,""))</f>
        <v/>
      </c>
      <c r="AK32" s="83" t="str">
        <f>Lists!$Q$1</f>
        <v>Travel</v>
      </c>
      <c r="AL32" s="84">
        <f>(IF(AI32=Lists!$Q$1,AD32,"0"))-AM32</f>
        <v>0</v>
      </c>
      <c r="AM32" s="85" t="str">
        <f>IF(AJ32=Lists!$Q$3,AD32,"0")</f>
        <v>0</v>
      </c>
      <c r="AN32" s="84" t="str">
        <f>IF(AI32=Lists!$Q$2,AD32,"")</f>
        <v/>
      </c>
    </row>
    <row r="33" spans="1:40" ht="15" customHeight="1">
      <c r="A33" s="52" t="str">
        <f t="shared" si="1"/>
        <v/>
      </c>
      <c r="B33" s="79">
        <f>'Tour Application Form'!A43</f>
        <v>0</v>
      </c>
      <c r="C33" s="80"/>
      <c r="D33" s="80"/>
      <c r="E33" s="80"/>
      <c r="F33" s="80"/>
      <c r="G33" s="80"/>
      <c r="H33" s="80"/>
      <c r="I33" s="80"/>
      <c r="J33" s="80"/>
      <c r="K33" s="80"/>
      <c r="L33" s="80"/>
      <c r="M33" s="80"/>
      <c r="N33" s="80"/>
      <c r="O33" s="80"/>
      <c r="P33" s="80"/>
      <c r="Q33" s="80"/>
      <c r="R33" s="80"/>
      <c r="S33" s="80"/>
      <c r="T33" s="80"/>
      <c r="U33" s="80"/>
      <c r="V33" s="81"/>
      <c r="W33" s="80"/>
      <c r="X33" s="80"/>
      <c r="Y33" s="80"/>
      <c r="Z33" s="503" t="str">
        <f>IF(AD33="","",AD33/'Tour Application Form'!$AK$18)</f>
        <v/>
      </c>
      <c r="AA33" s="503"/>
      <c r="AB33" s="503"/>
      <c r="AC33" s="503"/>
      <c r="AD33" s="559" t="str">
        <f>IF('Tour Application Form'!AC43=0,"",'Tour Application Form'!AC43)</f>
        <v/>
      </c>
      <c r="AE33" s="560"/>
      <c r="AF33" s="560"/>
      <c r="AG33" s="561"/>
      <c r="AI33" s="82" t="str">
        <f>IF(AD33="","",IF('Tour Application Form'!AG43="Travel",Lists!$Q$1,Lists!$Q$2))</f>
        <v/>
      </c>
      <c r="AJ33" s="58" t="str">
        <f>IF(AD33="","",IF('Tour Application Form'!AO43=TRUE,Lists!$Q$3,""))</f>
        <v/>
      </c>
      <c r="AK33" s="83" t="str">
        <f>Lists!$Q$1</f>
        <v>Travel</v>
      </c>
      <c r="AL33" s="84">
        <f>(IF(AI33=Lists!$Q$1,AD33,"0"))-AM33</f>
        <v>0</v>
      </c>
      <c r="AM33" s="85" t="str">
        <f>IF(AJ33=Lists!$Q$3,AD33,"0")</f>
        <v>0</v>
      </c>
      <c r="AN33" s="84" t="str">
        <f>IF(AI33=Lists!$Q$2,AD33,"")</f>
        <v/>
      </c>
    </row>
    <row r="34" spans="1:40" ht="15" customHeight="1">
      <c r="A34" s="52" t="str">
        <f t="shared" si="1"/>
        <v/>
      </c>
      <c r="B34" s="79">
        <f>'Tour Application Form'!A44</f>
        <v>0</v>
      </c>
      <c r="C34" s="80"/>
      <c r="D34" s="80"/>
      <c r="E34" s="80"/>
      <c r="F34" s="80"/>
      <c r="G34" s="80"/>
      <c r="H34" s="80"/>
      <c r="I34" s="80"/>
      <c r="J34" s="80"/>
      <c r="K34" s="80"/>
      <c r="L34" s="80"/>
      <c r="M34" s="80"/>
      <c r="N34" s="80"/>
      <c r="O34" s="80"/>
      <c r="P34" s="80"/>
      <c r="Q34" s="80"/>
      <c r="R34" s="80"/>
      <c r="S34" s="80"/>
      <c r="T34" s="80"/>
      <c r="U34" s="80"/>
      <c r="V34" s="81"/>
      <c r="W34" s="80"/>
      <c r="X34" s="80"/>
      <c r="Y34" s="80"/>
      <c r="Z34" s="503" t="str">
        <f>IF(AD34="","",AD34/'Tour Application Form'!$AK$18)</f>
        <v/>
      </c>
      <c r="AA34" s="503"/>
      <c r="AB34" s="503"/>
      <c r="AC34" s="503"/>
      <c r="AD34" s="559" t="str">
        <f>IF('Tour Application Form'!AC44=0,"",'Tour Application Form'!AC44)</f>
        <v/>
      </c>
      <c r="AE34" s="560"/>
      <c r="AF34" s="560"/>
      <c r="AG34" s="561"/>
      <c r="AI34" s="82" t="str">
        <f>IF(AD34="","",IF('Tour Application Form'!AG44="Travel",Lists!$Q$1,Lists!$Q$2))</f>
        <v/>
      </c>
      <c r="AJ34" s="58" t="str">
        <f>IF(AD34="","",IF('Tour Application Form'!AO44=TRUE,Lists!$Q$3,""))</f>
        <v/>
      </c>
      <c r="AK34" s="83" t="str">
        <f>Lists!$Q$1</f>
        <v>Travel</v>
      </c>
      <c r="AL34" s="84">
        <f>(IF(AI34=Lists!$Q$1,AD34,"0"))-AM34</f>
        <v>0</v>
      </c>
      <c r="AM34" s="85" t="str">
        <f>IF(AJ34=Lists!$Q$3,AD34,"0")</f>
        <v>0</v>
      </c>
      <c r="AN34" s="84" t="str">
        <f>IF(AI34=Lists!$Q$2,AD34,"")</f>
        <v/>
      </c>
    </row>
    <row r="35" spans="1:40" ht="15" customHeight="1">
      <c r="A35" s="52" t="str">
        <f t="shared" ca="1" si="1"/>
        <v/>
      </c>
      <c r="B35" s="79">
        <f>'Tour Application Form'!A52</f>
        <v>0</v>
      </c>
      <c r="C35" s="80"/>
      <c r="D35" s="80"/>
      <c r="E35" s="80"/>
      <c r="F35" s="80"/>
      <c r="G35" s="80"/>
      <c r="H35" s="80"/>
      <c r="I35" s="80"/>
      <c r="J35" s="80"/>
      <c r="K35" s="80"/>
      <c r="L35" s="80"/>
      <c r="M35" s="80"/>
      <c r="N35" s="80"/>
      <c r="O35" s="80"/>
      <c r="P35" s="80"/>
      <c r="Q35" s="80"/>
      <c r="R35" s="80"/>
      <c r="S35" s="80"/>
      <c r="T35" s="80"/>
      <c r="U35" s="80"/>
      <c r="V35" s="81"/>
      <c r="W35" s="80"/>
      <c r="X35" s="80"/>
      <c r="Y35" s="80"/>
      <c r="Z35" s="503" t="str">
        <f ca="1">IF(AD35="","",AD35/'Tour Application Form'!$AK$18)</f>
        <v/>
      </c>
      <c r="AA35" s="503"/>
      <c r="AB35" s="503"/>
      <c r="AC35" s="503"/>
      <c r="AD35" s="559" t="str">
        <f ca="1">IF('Tour Application Form'!AC52=0,"",'Tour Application Form'!AC52)</f>
        <v/>
      </c>
      <c r="AE35" s="560"/>
      <c r="AF35" s="560"/>
      <c r="AG35" s="561"/>
      <c r="AI35" s="82" t="str">
        <f ca="1">IF(AD35="","",IF('Tour Application Form'!AG52="Travel",Lists!$Q$1,Lists!$Q$2))</f>
        <v/>
      </c>
      <c r="AJ35" s="58" t="str">
        <f ca="1">IF(AD35="","",IF('Tour Application Form'!AO52=TRUE,Lists!$Q$3,""))</f>
        <v/>
      </c>
      <c r="AK35" s="83" t="str">
        <f>Lists!$Q$1</f>
        <v>Travel</v>
      </c>
      <c r="AL35" s="84">
        <f ca="1">(IF(AI35=Lists!$Q$1,AD35,"0"))-AM35</f>
        <v>0</v>
      </c>
      <c r="AM35" s="85" t="str">
        <f ca="1">IF(AJ35=Lists!$Q$3,AD35,"0")</f>
        <v>0</v>
      </c>
      <c r="AN35" s="84" t="str">
        <f ca="1">IF(AI35=Lists!$Q$2,AD35,"")</f>
        <v/>
      </c>
    </row>
    <row r="36" spans="1:40" ht="15" customHeight="1">
      <c r="A36" s="52" t="str">
        <f t="shared" si="1"/>
        <v/>
      </c>
      <c r="B36" s="79">
        <f>'Tour Application Form'!A53</f>
        <v>0</v>
      </c>
      <c r="C36" s="80"/>
      <c r="D36" s="80"/>
      <c r="E36" s="80"/>
      <c r="F36" s="80"/>
      <c r="G36" s="80"/>
      <c r="H36" s="80"/>
      <c r="I36" s="80"/>
      <c r="J36" s="80"/>
      <c r="K36" s="80"/>
      <c r="L36" s="80"/>
      <c r="M36" s="80"/>
      <c r="N36" s="80"/>
      <c r="O36" s="80"/>
      <c r="P36" s="80"/>
      <c r="Q36" s="80"/>
      <c r="R36" s="80"/>
      <c r="S36" s="80"/>
      <c r="T36" s="80"/>
      <c r="U36" s="80"/>
      <c r="V36" s="81"/>
      <c r="W36" s="80"/>
      <c r="X36" s="80"/>
      <c r="Y36" s="80"/>
      <c r="Z36" s="503" t="str">
        <f>IF(AD36="","",AD36/'Tour Application Form'!$AK$18)</f>
        <v/>
      </c>
      <c r="AA36" s="503"/>
      <c r="AB36" s="503"/>
      <c r="AC36" s="503"/>
      <c r="AD36" s="559" t="str">
        <f>IF('Tour Application Form'!AC53=0,"",'Tour Application Form'!AC53)</f>
        <v/>
      </c>
      <c r="AE36" s="560"/>
      <c r="AF36" s="560"/>
      <c r="AG36" s="561"/>
      <c r="AI36" s="82" t="str">
        <f>IF(AD36="","",IF('Tour Application Form'!AG53="Travel",Lists!$Q$1,Lists!$Q$2))</f>
        <v/>
      </c>
      <c r="AJ36" s="58" t="str">
        <f>IF(AD36="","",IF('Tour Application Form'!AO53=TRUE,Lists!$Q$3,""))</f>
        <v/>
      </c>
      <c r="AK36" s="83" t="str">
        <f>Lists!$Q$1</f>
        <v>Travel</v>
      </c>
      <c r="AL36" s="84">
        <f>(IF(AI36=Lists!$Q$1,AD36,"0"))-AM36</f>
        <v>0</v>
      </c>
      <c r="AM36" s="85" t="str">
        <f>IF(AJ36=Lists!$Q$3,AD36,"0")</f>
        <v>0</v>
      </c>
      <c r="AN36" s="84" t="str">
        <f>IF(AI36=Lists!$Q$2,AD36,"")</f>
        <v/>
      </c>
    </row>
    <row r="37" spans="1:40" ht="15" customHeight="1">
      <c r="A37" s="52" t="str">
        <f t="shared" si="1"/>
        <v/>
      </c>
      <c r="B37" s="79">
        <f>'Tour Application Form'!A54</f>
        <v>0</v>
      </c>
      <c r="C37" s="80"/>
      <c r="D37" s="80"/>
      <c r="E37" s="80"/>
      <c r="F37" s="80"/>
      <c r="G37" s="80"/>
      <c r="H37" s="80"/>
      <c r="I37" s="80"/>
      <c r="J37" s="80"/>
      <c r="K37" s="80"/>
      <c r="L37" s="80"/>
      <c r="M37" s="80"/>
      <c r="N37" s="80"/>
      <c r="O37" s="80"/>
      <c r="P37" s="80"/>
      <c r="Q37" s="80"/>
      <c r="R37" s="80"/>
      <c r="S37" s="80"/>
      <c r="T37" s="80"/>
      <c r="U37" s="80"/>
      <c r="V37" s="81"/>
      <c r="W37" s="80"/>
      <c r="X37" s="80"/>
      <c r="Y37" s="80"/>
      <c r="Z37" s="503" t="str">
        <f>IF(AD37="","",AD37/'Tour Application Form'!$AK$18)</f>
        <v/>
      </c>
      <c r="AA37" s="503"/>
      <c r="AB37" s="503"/>
      <c r="AC37" s="503"/>
      <c r="AD37" s="559" t="str">
        <f>IF('Tour Application Form'!AC54=0,"",'Tour Application Form'!AC54)</f>
        <v/>
      </c>
      <c r="AE37" s="560"/>
      <c r="AF37" s="560"/>
      <c r="AG37" s="561"/>
      <c r="AI37" s="82" t="str">
        <f>IF(AD37="","",IF('Tour Application Form'!AG54="Travel",Lists!$Q$1,Lists!$Q$2))</f>
        <v/>
      </c>
      <c r="AJ37" s="58" t="str">
        <f>IF(AD37="","",IF('Tour Application Form'!AO54=TRUE,Lists!$Q$3,""))</f>
        <v/>
      </c>
      <c r="AK37" s="83" t="str">
        <f>Lists!$Q$1</f>
        <v>Travel</v>
      </c>
      <c r="AL37" s="84">
        <f>(IF(AI37=Lists!$Q$1,AD37,"0"))-AM37</f>
        <v>0</v>
      </c>
      <c r="AM37" s="85" t="str">
        <f>IF(AJ37=Lists!$Q$3,AD37,"0")</f>
        <v>0</v>
      </c>
      <c r="AN37" s="84" t="str">
        <f>IF(AI37=Lists!$Q$2,AD37,"")</f>
        <v/>
      </c>
    </row>
    <row r="38" spans="1:40" ht="15" customHeight="1">
      <c r="A38" s="52" t="str">
        <f t="shared" si="1"/>
        <v/>
      </c>
      <c r="B38" s="79">
        <f>'Tour Application Form'!A55</f>
        <v>0</v>
      </c>
      <c r="C38" s="80"/>
      <c r="D38" s="80"/>
      <c r="E38" s="80"/>
      <c r="F38" s="80"/>
      <c r="G38" s="80"/>
      <c r="H38" s="80"/>
      <c r="I38" s="80"/>
      <c r="J38" s="80"/>
      <c r="K38" s="80"/>
      <c r="L38" s="80"/>
      <c r="M38" s="80"/>
      <c r="N38" s="80"/>
      <c r="O38" s="80"/>
      <c r="P38" s="80"/>
      <c r="Q38" s="80"/>
      <c r="R38" s="80"/>
      <c r="S38" s="80"/>
      <c r="T38" s="80"/>
      <c r="U38" s="80"/>
      <c r="V38" s="81"/>
      <c r="W38" s="80"/>
      <c r="X38" s="80"/>
      <c r="Y38" s="80"/>
      <c r="Z38" s="503" t="str">
        <f>IF(AD38="","",AD38/'Tour Application Form'!$AK$18)</f>
        <v/>
      </c>
      <c r="AA38" s="503"/>
      <c r="AB38" s="503"/>
      <c r="AC38" s="503"/>
      <c r="AD38" s="559" t="str">
        <f>IF('Tour Application Form'!AC55=0,"",'Tour Application Form'!AC55)</f>
        <v/>
      </c>
      <c r="AE38" s="560"/>
      <c r="AF38" s="560"/>
      <c r="AG38" s="561"/>
      <c r="AI38" s="82" t="str">
        <f>IF(AD38="","",IF('Tour Application Form'!AG55="Travel",Lists!$Q$1,Lists!$Q$2))</f>
        <v/>
      </c>
      <c r="AJ38" s="58" t="str">
        <f>IF(AD38="","",IF('Tour Application Form'!AO55=TRUE,Lists!$Q$3,""))</f>
        <v/>
      </c>
      <c r="AK38" s="83" t="str">
        <f>Lists!$Q$1</f>
        <v>Travel</v>
      </c>
      <c r="AL38" s="84">
        <f>(IF(AI38=Lists!$Q$1,AD38,"0"))-AM38</f>
        <v>0</v>
      </c>
      <c r="AM38" s="85" t="str">
        <f>IF(AJ38=Lists!$Q$3,AD38,"0")</f>
        <v>0</v>
      </c>
      <c r="AN38" s="84" t="str">
        <f>IF(AI38=Lists!$Q$2,AD38,"")</f>
        <v/>
      </c>
    </row>
    <row r="39" spans="1:40" ht="15" customHeight="1">
      <c r="A39" s="52" t="str">
        <f t="shared" si="1"/>
        <v/>
      </c>
      <c r="B39" s="79">
        <f>'Tour Application Form'!A56</f>
        <v>0</v>
      </c>
      <c r="C39" s="80"/>
      <c r="D39" s="80"/>
      <c r="E39" s="80"/>
      <c r="F39" s="80"/>
      <c r="G39" s="80"/>
      <c r="H39" s="80"/>
      <c r="I39" s="80"/>
      <c r="J39" s="80"/>
      <c r="K39" s="80"/>
      <c r="L39" s="80"/>
      <c r="M39" s="80"/>
      <c r="N39" s="80"/>
      <c r="O39" s="80"/>
      <c r="P39" s="80"/>
      <c r="Q39" s="80"/>
      <c r="R39" s="80"/>
      <c r="S39" s="80"/>
      <c r="T39" s="80"/>
      <c r="U39" s="80"/>
      <c r="V39" s="81"/>
      <c r="W39" s="80"/>
      <c r="X39" s="80"/>
      <c r="Y39" s="80"/>
      <c r="Z39" s="503" t="str">
        <f>IF(AD39="","",AD39/'Tour Application Form'!$AK$18)</f>
        <v/>
      </c>
      <c r="AA39" s="503"/>
      <c r="AB39" s="503"/>
      <c r="AC39" s="503"/>
      <c r="AD39" s="559" t="str">
        <f>IF('Tour Application Form'!AC56=0,"",'Tour Application Form'!AC56)</f>
        <v/>
      </c>
      <c r="AE39" s="560"/>
      <c r="AF39" s="560"/>
      <c r="AG39" s="561"/>
      <c r="AI39" s="82" t="str">
        <f>IF(AD39="","",IF('Tour Application Form'!AG56="Travel",Lists!$Q$1,Lists!$Q$2))</f>
        <v/>
      </c>
      <c r="AJ39" s="58" t="str">
        <f>IF(AD39="","",IF('Tour Application Form'!AO56=TRUE,Lists!$Q$3,""))</f>
        <v/>
      </c>
      <c r="AK39" s="83" t="str">
        <f>Lists!$Q$1</f>
        <v>Travel</v>
      </c>
      <c r="AL39" s="84">
        <f>(IF(AI39=Lists!$Q$1,AD39,"0"))-AM39</f>
        <v>0</v>
      </c>
      <c r="AM39" s="85" t="str">
        <f>IF(AJ39=Lists!$Q$3,AD39,"0")</f>
        <v>0</v>
      </c>
      <c r="AN39" s="84" t="str">
        <f>IF(AI39=Lists!$Q$2,AD39,"")</f>
        <v/>
      </c>
    </row>
    <row r="40" spans="1:40" ht="15" customHeight="1">
      <c r="A40" s="52" t="str">
        <f t="shared" si="1"/>
        <v/>
      </c>
      <c r="B40" s="79">
        <f>'Tour Application Form'!A57</f>
        <v>0</v>
      </c>
      <c r="C40" s="80"/>
      <c r="D40" s="80"/>
      <c r="E40" s="80"/>
      <c r="F40" s="80"/>
      <c r="G40" s="80"/>
      <c r="H40" s="80"/>
      <c r="I40" s="80"/>
      <c r="J40" s="80"/>
      <c r="K40" s="80"/>
      <c r="L40" s="80"/>
      <c r="M40" s="80"/>
      <c r="N40" s="80"/>
      <c r="O40" s="80"/>
      <c r="P40" s="80"/>
      <c r="Q40" s="80"/>
      <c r="R40" s="80"/>
      <c r="S40" s="80"/>
      <c r="T40" s="80"/>
      <c r="U40" s="80"/>
      <c r="V40" s="81"/>
      <c r="W40" s="80"/>
      <c r="X40" s="80"/>
      <c r="Y40" s="80"/>
      <c r="Z40" s="503" t="str">
        <f>IF(AD40="","",AD40/'Tour Application Form'!$AK$18)</f>
        <v/>
      </c>
      <c r="AA40" s="503"/>
      <c r="AB40" s="503"/>
      <c r="AC40" s="503"/>
      <c r="AD40" s="559" t="str">
        <f>IF('Tour Application Form'!AC57=0,"",'Tour Application Form'!AC57)</f>
        <v/>
      </c>
      <c r="AE40" s="560"/>
      <c r="AF40" s="560"/>
      <c r="AG40" s="561"/>
      <c r="AI40" s="82" t="str">
        <f>IF(AD40="","",IF('Tour Application Form'!AG57="Travel",Lists!$Q$1,Lists!$Q$2))</f>
        <v/>
      </c>
      <c r="AJ40" s="58" t="str">
        <f>IF(AD40="","",IF('Tour Application Form'!AO57=TRUE,Lists!$Q$3,""))</f>
        <v/>
      </c>
      <c r="AK40" s="83" t="str">
        <f>Lists!$Q$1</f>
        <v>Travel</v>
      </c>
      <c r="AL40" s="84">
        <f>(IF(AI40=Lists!$Q$1,AD40,"0"))-AM40</f>
        <v>0</v>
      </c>
      <c r="AM40" s="85" t="str">
        <f>IF(AJ40=Lists!$Q$3,AD40,"0")</f>
        <v>0</v>
      </c>
      <c r="AN40" s="84" t="str">
        <f>IF(AI40=Lists!$Q$2,AD40,"")</f>
        <v/>
      </c>
    </row>
    <row r="41" spans="1:40" ht="15" customHeight="1">
      <c r="A41" s="52" t="str">
        <f t="shared" si="1"/>
        <v/>
      </c>
      <c r="B41" s="79">
        <f>'Tour Application Form'!A58</f>
        <v>0</v>
      </c>
      <c r="C41" s="80"/>
      <c r="D41" s="80"/>
      <c r="E41" s="80"/>
      <c r="F41" s="80"/>
      <c r="G41" s="80"/>
      <c r="H41" s="80"/>
      <c r="I41" s="80"/>
      <c r="J41" s="80"/>
      <c r="K41" s="80"/>
      <c r="L41" s="80"/>
      <c r="M41" s="80"/>
      <c r="N41" s="80"/>
      <c r="O41" s="80"/>
      <c r="P41" s="80"/>
      <c r="Q41" s="80"/>
      <c r="R41" s="80"/>
      <c r="S41" s="80"/>
      <c r="T41" s="80"/>
      <c r="U41" s="80"/>
      <c r="V41" s="81"/>
      <c r="W41" s="80"/>
      <c r="X41" s="80"/>
      <c r="Y41" s="80"/>
      <c r="Z41" s="503" t="str">
        <f>IF(AD41="","",AD41/'Tour Application Form'!$AK$18)</f>
        <v/>
      </c>
      <c r="AA41" s="503"/>
      <c r="AB41" s="503"/>
      <c r="AC41" s="503"/>
      <c r="AD41" s="559" t="str">
        <f>IF('Tour Application Form'!AC58=0,"",'Tour Application Form'!AC58)</f>
        <v/>
      </c>
      <c r="AE41" s="560"/>
      <c r="AF41" s="560"/>
      <c r="AG41" s="561"/>
      <c r="AI41" s="82" t="str">
        <f>IF(AD41="","",IF('Tour Application Form'!AG58="Travel",Lists!$Q$1,Lists!$Q$2))</f>
        <v/>
      </c>
      <c r="AJ41" s="58" t="str">
        <f>IF(AD41="","",IF('Tour Application Form'!AO58=TRUE,Lists!$Q$3,""))</f>
        <v/>
      </c>
      <c r="AK41" s="83" t="str">
        <f>Lists!$Q$1</f>
        <v>Travel</v>
      </c>
      <c r="AL41" s="84">
        <f>(IF(AI41=Lists!$Q$1,AD41,"0"))-AM41</f>
        <v>0</v>
      </c>
      <c r="AM41" s="85" t="str">
        <f>IF(AJ41=Lists!$Q$3,AD41,"0")</f>
        <v>0</v>
      </c>
      <c r="AN41" s="84" t="str">
        <f>IF(AI41=Lists!$Q$2,AD41,"")</f>
        <v/>
      </c>
    </row>
    <row r="42" spans="1:40" ht="15" customHeight="1">
      <c r="A42" s="52" t="str">
        <f t="shared" si="1"/>
        <v/>
      </c>
      <c r="B42" s="79">
        <f>'Tour Application Form'!A59</f>
        <v>0</v>
      </c>
      <c r="C42" s="80"/>
      <c r="D42" s="80"/>
      <c r="E42" s="80"/>
      <c r="F42" s="80"/>
      <c r="G42" s="80"/>
      <c r="H42" s="80"/>
      <c r="I42" s="80"/>
      <c r="J42" s="80"/>
      <c r="K42" s="80"/>
      <c r="L42" s="80"/>
      <c r="M42" s="80"/>
      <c r="N42" s="80"/>
      <c r="O42" s="80"/>
      <c r="P42" s="80"/>
      <c r="Q42" s="80"/>
      <c r="R42" s="80"/>
      <c r="S42" s="80"/>
      <c r="T42" s="80"/>
      <c r="U42" s="80"/>
      <c r="V42" s="81"/>
      <c r="W42" s="80"/>
      <c r="X42" s="80"/>
      <c r="Y42" s="80"/>
      <c r="Z42" s="503" t="str">
        <f>IF(AD42="","",AD42/'Tour Application Form'!$AK$18)</f>
        <v/>
      </c>
      <c r="AA42" s="503"/>
      <c r="AB42" s="503"/>
      <c r="AC42" s="503"/>
      <c r="AD42" s="559" t="str">
        <f>IF('Tour Application Form'!AC59=0,"",'Tour Application Form'!AC59)</f>
        <v/>
      </c>
      <c r="AE42" s="560"/>
      <c r="AF42" s="560"/>
      <c r="AG42" s="561"/>
      <c r="AI42" s="82" t="str">
        <f>IF(AD42="","",IF('Tour Application Form'!AG59="Travel",Lists!$Q$1,Lists!$Q$2))</f>
        <v/>
      </c>
      <c r="AJ42" s="58" t="str">
        <f>IF(AD42="","",IF('Tour Application Form'!AO59=TRUE,Lists!$Q$3,""))</f>
        <v/>
      </c>
      <c r="AK42" s="83" t="str">
        <f>Lists!$Q$1</f>
        <v>Travel</v>
      </c>
      <c r="AL42" s="84">
        <f>(IF(AI42=Lists!$Q$1,AD42,"0"))-AM42</f>
        <v>0</v>
      </c>
      <c r="AM42" s="85" t="str">
        <f>IF(AJ42=Lists!$Q$3,AD42,"0")</f>
        <v>0</v>
      </c>
      <c r="AN42" s="84" t="str">
        <f>IF(AI42=Lists!$Q$2,AD42,"")</f>
        <v/>
      </c>
    </row>
    <row r="43" spans="1:40" ht="15" customHeight="1">
      <c r="A43" s="52" t="str">
        <f t="shared" si="1"/>
        <v/>
      </c>
      <c r="B43" s="79">
        <f>'Tour Application Form'!A60</f>
        <v>0</v>
      </c>
      <c r="C43" s="80"/>
      <c r="D43" s="80"/>
      <c r="E43" s="80"/>
      <c r="F43" s="80"/>
      <c r="G43" s="80"/>
      <c r="H43" s="80"/>
      <c r="I43" s="80"/>
      <c r="J43" s="80"/>
      <c r="K43" s="80"/>
      <c r="L43" s="80"/>
      <c r="M43" s="80"/>
      <c r="N43" s="80"/>
      <c r="O43" s="80"/>
      <c r="P43" s="80"/>
      <c r="Q43" s="80"/>
      <c r="R43" s="80"/>
      <c r="S43" s="80"/>
      <c r="T43" s="80"/>
      <c r="U43" s="80"/>
      <c r="V43" s="81"/>
      <c r="W43" s="80"/>
      <c r="X43" s="80"/>
      <c r="Y43" s="80"/>
      <c r="Z43" s="503" t="str">
        <f>IF(AD43="","",AD43/'Tour Application Form'!$AK$18)</f>
        <v/>
      </c>
      <c r="AA43" s="503"/>
      <c r="AB43" s="503"/>
      <c r="AC43" s="503"/>
      <c r="AD43" s="559" t="str">
        <f>IF('Tour Application Form'!AC60=0,"",'Tour Application Form'!AC60)</f>
        <v/>
      </c>
      <c r="AE43" s="560"/>
      <c r="AF43" s="560"/>
      <c r="AG43" s="561"/>
      <c r="AI43" s="82" t="str">
        <f>IF(AD43="","",IF('Tour Application Form'!AG60="Travel",Lists!$Q$1,Lists!$Q$2))</f>
        <v/>
      </c>
      <c r="AJ43" s="58" t="str">
        <f>IF(AD43="","",IF('Tour Application Form'!AO60=TRUE,Lists!$Q$3,""))</f>
        <v/>
      </c>
      <c r="AK43" s="83" t="str">
        <f>Lists!$Q$1</f>
        <v>Travel</v>
      </c>
      <c r="AL43" s="84">
        <f>(IF(AI43=Lists!$Q$1,AD43,"0"))-AM43</f>
        <v>0</v>
      </c>
      <c r="AM43" s="85" t="str">
        <f>IF(AJ43=Lists!$Q$3,AD43,"0")</f>
        <v>0</v>
      </c>
      <c r="AN43" s="84" t="str">
        <f>IF(AI43=Lists!$Q$2,AD43,"")</f>
        <v/>
      </c>
    </row>
    <row r="44" spans="1:40" ht="15" customHeight="1">
      <c r="A44" s="52" t="str">
        <f t="shared" si="1"/>
        <v/>
      </c>
      <c r="B44" s="79">
        <f>'Tour Application Form'!A61</f>
        <v>0</v>
      </c>
      <c r="C44" s="80"/>
      <c r="D44" s="80"/>
      <c r="E44" s="80"/>
      <c r="F44" s="80"/>
      <c r="G44" s="80"/>
      <c r="H44" s="80"/>
      <c r="I44" s="80"/>
      <c r="J44" s="80"/>
      <c r="K44" s="80"/>
      <c r="L44" s="80"/>
      <c r="M44" s="80"/>
      <c r="N44" s="80"/>
      <c r="O44" s="80"/>
      <c r="P44" s="80"/>
      <c r="Q44" s="80"/>
      <c r="R44" s="80"/>
      <c r="S44" s="80"/>
      <c r="T44" s="80"/>
      <c r="U44" s="80"/>
      <c r="V44" s="81"/>
      <c r="W44" s="80"/>
      <c r="X44" s="80"/>
      <c r="Y44" s="80"/>
      <c r="Z44" s="503" t="str">
        <f>IF(AD44="","",AD44/'Tour Application Form'!$AK$18)</f>
        <v/>
      </c>
      <c r="AA44" s="503"/>
      <c r="AB44" s="503"/>
      <c r="AC44" s="503"/>
      <c r="AD44" s="559" t="str">
        <f>IF('Tour Application Form'!AC61=0,"",'Tour Application Form'!AC61)</f>
        <v/>
      </c>
      <c r="AE44" s="560"/>
      <c r="AF44" s="560"/>
      <c r="AG44" s="561"/>
      <c r="AI44" s="82" t="str">
        <f>IF(AD44="","",IF('Tour Application Form'!AG61="Travel",Lists!$Q$1,Lists!$Q$2))</f>
        <v/>
      </c>
      <c r="AJ44" s="58" t="str">
        <f>IF(AD44="","",IF('Tour Application Form'!AO61=TRUE,Lists!$Q$3,""))</f>
        <v/>
      </c>
      <c r="AK44" s="83" t="str">
        <f>Lists!$Q$1</f>
        <v>Travel</v>
      </c>
      <c r="AL44" s="84">
        <f>(IF(AI44=Lists!$Q$1,AD44,"0"))-AM44</f>
        <v>0</v>
      </c>
      <c r="AM44" s="85" t="str">
        <f>IF(AJ44=Lists!$Q$3,AD44,"0")</f>
        <v>0</v>
      </c>
      <c r="AN44" s="84" t="str">
        <f>IF(AI44=Lists!$Q$2,AD44,"")</f>
        <v/>
      </c>
    </row>
    <row r="45" spans="1:40">
      <c r="A45" s="52" t="str">
        <f>$A$24</f>
        <v>Separate travel</v>
      </c>
      <c r="V45" s="550" t="s">
        <v>395</v>
      </c>
      <c r="W45" s="550"/>
      <c r="X45" s="550"/>
      <c r="Y45" s="550"/>
      <c r="Z45" s="552">
        <f ca="1">Z79+Z80</f>
        <v>14.666666666666666</v>
      </c>
      <c r="AA45" s="552"/>
      <c r="AB45" s="552"/>
      <c r="AC45" s="552"/>
      <c r="AD45" s="552">
        <f ca="1">AD79+AD80</f>
        <v>440</v>
      </c>
      <c r="AE45" s="552"/>
      <c r="AF45" s="552"/>
      <c r="AG45" s="552"/>
      <c r="AK45" s="58"/>
      <c r="AL45" s="59"/>
    </row>
    <row r="46" spans="1:40" ht="15" customHeight="1">
      <c r="O46" s="548" t="s">
        <v>396</v>
      </c>
      <c r="P46" s="548"/>
      <c r="Q46" s="548"/>
      <c r="R46" s="548"/>
      <c r="S46" s="548"/>
      <c r="T46" s="548"/>
      <c r="U46" s="548"/>
      <c r="V46" s="548"/>
      <c r="W46" s="548"/>
      <c r="X46" s="548"/>
      <c r="Y46" s="548"/>
      <c r="Z46" s="562">
        <f ca="1">Z82</f>
        <v>5.8666666666666663</v>
      </c>
      <c r="AA46" s="562"/>
      <c r="AB46" s="562"/>
      <c r="AC46" s="562"/>
      <c r="AD46" s="562">
        <f ca="1">AD82</f>
        <v>176</v>
      </c>
      <c r="AE46" s="562"/>
      <c r="AF46" s="562"/>
      <c r="AG46" s="562"/>
      <c r="AK46" s="58"/>
      <c r="AL46" s="59"/>
    </row>
    <row r="47" spans="1:40" ht="15" customHeight="1">
      <c r="O47" s="548" t="s">
        <v>1033</v>
      </c>
      <c r="P47" s="548"/>
      <c r="Q47" s="548"/>
      <c r="R47" s="548"/>
      <c r="S47" s="548"/>
      <c r="T47" s="548"/>
      <c r="U47" s="548"/>
      <c r="V47" s="548"/>
      <c r="W47" s="548"/>
      <c r="X47" s="548"/>
      <c r="Y47" s="548"/>
      <c r="Z47" s="562">
        <f ca="1">Z83</f>
        <v>0</v>
      </c>
      <c r="AA47" s="562"/>
      <c r="AB47" s="562"/>
      <c r="AC47" s="562"/>
      <c r="AD47" s="562">
        <f ca="1">AD83</f>
        <v>0</v>
      </c>
      <c r="AE47" s="562"/>
      <c r="AF47" s="562"/>
      <c r="AG47" s="562"/>
      <c r="AK47" s="58"/>
      <c r="AL47" s="59"/>
    </row>
    <row r="48" spans="1:40" ht="6.75" customHeight="1">
      <c r="A48" s="52" t="str">
        <f>$A$24</f>
        <v>Separate travel</v>
      </c>
      <c r="B48" s="86"/>
      <c r="C48" s="86"/>
      <c r="D48" s="86"/>
      <c r="E48" s="86"/>
      <c r="F48" s="86"/>
      <c r="G48" s="86"/>
      <c r="H48" s="86"/>
      <c r="I48" s="86"/>
      <c r="J48" s="86"/>
      <c r="K48" s="86"/>
      <c r="L48" s="86"/>
      <c r="M48" s="86"/>
      <c r="N48" s="86"/>
      <c r="O48" s="86"/>
      <c r="P48" s="86"/>
      <c r="Q48" s="87"/>
      <c r="R48" s="87"/>
      <c r="S48" s="87"/>
      <c r="T48" s="87"/>
      <c r="U48" s="87"/>
      <c r="W48" s="87"/>
      <c r="X48" s="87"/>
      <c r="Y48" s="87"/>
      <c r="AI48" s="88" t="str">
        <f>Lists!Q1</f>
        <v>Travel</v>
      </c>
      <c r="AK48" s="83" t="str">
        <f>Lists!$Q$1</f>
        <v>Travel</v>
      </c>
      <c r="AL48" s="84"/>
      <c r="AM48" s="84"/>
    </row>
    <row r="49" spans="1:40">
      <c r="A49" s="52" t="str">
        <f>$A$24</f>
        <v>Separate travel</v>
      </c>
      <c r="B49" s="79" t="s">
        <v>356</v>
      </c>
      <c r="C49" s="80"/>
      <c r="D49" s="80"/>
      <c r="E49" s="80"/>
      <c r="F49" s="80"/>
      <c r="G49" s="80"/>
      <c r="H49" s="80"/>
      <c r="I49" s="80"/>
      <c r="J49" s="80"/>
      <c r="K49" s="80"/>
      <c r="L49" s="80"/>
      <c r="M49" s="80"/>
      <c r="N49" s="80"/>
      <c r="O49" s="80"/>
      <c r="P49" s="80"/>
      <c r="Q49" s="80"/>
      <c r="R49" s="80"/>
      <c r="S49" s="80"/>
      <c r="T49" s="80"/>
      <c r="U49" s="80"/>
      <c r="V49" s="81"/>
      <c r="W49" s="80"/>
      <c r="X49" s="80"/>
      <c r="Y49" s="80"/>
      <c r="Z49" s="568" t="str">
        <f>Z24</f>
        <v>Cost/Person</v>
      </c>
      <c r="AA49" s="568"/>
      <c r="AB49" s="568"/>
      <c r="AC49" s="568"/>
      <c r="AD49" s="568" t="str">
        <f>AD24</f>
        <v>Total Cost</v>
      </c>
      <c r="AE49" s="568"/>
      <c r="AF49" s="568"/>
      <c r="AG49" s="568"/>
      <c r="AI49" s="82" t="str">
        <f>Lists!Q2</f>
        <v>Non-Travel</v>
      </c>
      <c r="AK49" s="83" t="str">
        <f>Lists!$Q$2</f>
        <v>Non-Travel</v>
      </c>
      <c r="AL49" s="89">
        <f ca="1">SUM(AL25:AL44)</f>
        <v>440</v>
      </c>
      <c r="AM49" s="89">
        <f ca="1">SUM(AM25:AM44)</f>
        <v>0</v>
      </c>
      <c r="AN49" s="89">
        <f ca="1">SUM(AN25:AN44)</f>
        <v>1174.4680851063831</v>
      </c>
    </row>
    <row r="50" spans="1:40" ht="15" customHeight="1">
      <c r="A50" s="52" t="str">
        <f>IF(AI50=$AI$24,"",IF(AI50=$AI$49,"Separate travel",""))</f>
        <v/>
      </c>
      <c r="B50" s="79" t="str">
        <f>B25</f>
        <v>2 mini buses hired for 3 days</v>
      </c>
      <c r="C50" s="80"/>
      <c r="D50" s="80"/>
      <c r="E50" s="80"/>
      <c r="F50" s="80"/>
      <c r="G50" s="80"/>
      <c r="H50" s="80"/>
      <c r="I50" s="80"/>
      <c r="J50" s="80"/>
      <c r="K50" s="80"/>
      <c r="L50" s="80"/>
      <c r="M50" s="80"/>
      <c r="N50" s="80"/>
      <c r="O50" s="80"/>
      <c r="P50" s="80"/>
      <c r="Q50" s="80"/>
      <c r="R50" s="80"/>
      <c r="S50" s="80"/>
      <c r="T50" s="80"/>
      <c r="U50" s="80"/>
      <c r="V50" s="81"/>
      <c r="W50" s="80"/>
      <c r="X50" s="80"/>
      <c r="Y50" s="80"/>
      <c r="Z50" s="503">
        <f>Z25</f>
        <v>14.666666666666666</v>
      </c>
      <c r="AA50" s="503"/>
      <c r="AB50" s="503"/>
      <c r="AC50" s="503"/>
      <c r="AD50" s="559">
        <f>AD25</f>
        <v>440</v>
      </c>
      <c r="AE50" s="560"/>
      <c r="AF50" s="560"/>
      <c r="AG50" s="561"/>
      <c r="AI50" s="82" t="str">
        <f t="shared" ref="AI50:AI69" si="2">AI25</f>
        <v>Travel</v>
      </c>
      <c r="AJ50" s="83" t="str">
        <f>Lists!$Q$2</f>
        <v>Non-Travel</v>
      </c>
      <c r="AK50" s="84" t="str">
        <f>AL24</f>
        <v>Travel</v>
      </c>
      <c r="AL50" s="84" t="str">
        <f>AN24</f>
        <v>Non Travel</v>
      </c>
    </row>
    <row r="51" spans="1:40" ht="15" customHeight="1">
      <c r="A51" s="52" t="str">
        <f t="shared" ref="A51:A69" ca="1" si="3">IF(AI51=$AI$24,"",IF(AI51=$AI$49,"Separate travel",""))</f>
        <v>Separate travel</v>
      </c>
      <c r="B51" s="79" t="str">
        <f t="shared" ref="B51:B69" si="4">B26</f>
        <v>accommodation</v>
      </c>
      <c r="C51" s="80"/>
      <c r="D51" s="80"/>
      <c r="E51" s="80"/>
      <c r="F51" s="80"/>
      <c r="G51" s="80"/>
      <c r="H51" s="80"/>
      <c r="I51" s="80"/>
      <c r="J51" s="80"/>
      <c r="K51" s="80"/>
      <c r="L51" s="80"/>
      <c r="M51" s="80"/>
      <c r="N51" s="80"/>
      <c r="O51" s="80"/>
      <c r="P51" s="80"/>
      <c r="Q51" s="80"/>
      <c r="R51" s="80"/>
      <c r="S51" s="80"/>
      <c r="T51" s="80"/>
      <c r="U51" s="80"/>
      <c r="V51" s="81"/>
      <c r="W51" s="80"/>
      <c r="X51" s="80"/>
      <c r="Y51" s="80"/>
      <c r="Z51" s="503">
        <f t="shared" ref="Z51:Z69" ca="1" si="5">Z26</f>
        <v>25.531914893617021</v>
      </c>
      <c r="AA51" s="503"/>
      <c r="AB51" s="503"/>
      <c r="AC51" s="503"/>
      <c r="AD51" s="559">
        <f t="shared" ref="AD51:AD69" ca="1" si="6">AD26</f>
        <v>765.95744680851067</v>
      </c>
      <c r="AE51" s="560"/>
      <c r="AF51" s="560"/>
      <c r="AG51" s="561"/>
      <c r="AI51" s="82" t="str">
        <f t="shared" ca="1" si="2"/>
        <v>Non-Travel</v>
      </c>
      <c r="AJ51" s="83" t="str">
        <f>Lists!$Q$2</f>
        <v>Non-Travel</v>
      </c>
      <c r="AK51" s="84"/>
      <c r="AL51" s="90"/>
    </row>
    <row r="52" spans="1:40" ht="15" customHeight="1">
      <c r="A52" s="52" t="str">
        <f t="shared" ca="1" si="3"/>
        <v>Separate travel</v>
      </c>
      <c r="B52" s="79" t="str">
        <f t="shared" si="4"/>
        <v>fuel</v>
      </c>
      <c r="C52" s="80"/>
      <c r="D52" s="80"/>
      <c r="E52" s="80"/>
      <c r="F52" s="80"/>
      <c r="G52" s="80"/>
      <c r="H52" s="80"/>
      <c r="I52" s="80"/>
      <c r="J52" s="80"/>
      <c r="K52" s="80"/>
      <c r="L52" s="80"/>
      <c r="M52" s="80"/>
      <c r="N52" s="80"/>
      <c r="O52" s="80"/>
      <c r="P52" s="80"/>
      <c r="Q52" s="80"/>
      <c r="R52" s="80"/>
      <c r="S52" s="80"/>
      <c r="T52" s="80"/>
      <c r="U52" s="80"/>
      <c r="V52" s="81"/>
      <c r="W52" s="80"/>
      <c r="X52" s="80"/>
      <c r="Y52" s="80"/>
      <c r="Z52" s="503">
        <f t="shared" ca="1" si="5"/>
        <v>13.617021276595745</v>
      </c>
      <c r="AA52" s="503"/>
      <c r="AB52" s="503"/>
      <c r="AC52" s="503"/>
      <c r="AD52" s="559">
        <f t="shared" ca="1" si="6"/>
        <v>408.51063829787233</v>
      </c>
      <c r="AE52" s="560"/>
      <c r="AF52" s="560"/>
      <c r="AG52" s="561"/>
      <c r="AI52" s="82" t="str">
        <f t="shared" ca="1" si="2"/>
        <v>Non-Travel</v>
      </c>
      <c r="AJ52" s="83" t="str">
        <f>Lists!$Q$2</f>
        <v>Non-Travel</v>
      </c>
      <c r="AK52" s="84"/>
      <c r="AL52" s="83"/>
    </row>
    <row r="53" spans="1:40" ht="15" customHeight="1">
      <c r="A53" s="52" t="str">
        <f t="shared" si="3"/>
        <v/>
      </c>
      <c r="B53" s="79">
        <f t="shared" si="4"/>
        <v>0</v>
      </c>
      <c r="C53" s="80"/>
      <c r="D53" s="80"/>
      <c r="E53" s="80"/>
      <c r="F53" s="80"/>
      <c r="G53" s="80"/>
      <c r="H53" s="80"/>
      <c r="I53" s="80"/>
      <c r="J53" s="80"/>
      <c r="K53" s="80"/>
      <c r="L53" s="80"/>
      <c r="M53" s="80"/>
      <c r="N53" s="80"/>
      <c r="O53" s="80"/>
      <c r="P53" s="80"/>
      <c r="Q53" s="80"/>
      <c r="R53" s="80"/>
      <c r="S53" s="80"/>
      <c r="T53" s="80"/>
      <c r="U53" s="80"/>
      <c r="V53" s="81"/>
      <c r="W53" s="80"/>
      <c r="X53" s="80"/>
      <c r="Y53" s="80"/>
      <c r="Z53" s="503" t="str">
        <f t="shared" si="5"/>
        <v/>
      </c>
      <c r="AA53" s="503"/>
      <c r="AB53" s="503"/>
      <c r="AC53" s="503"/>
      <c r="AD53" s="559" t="str">
        <f t="shared" si="6"/>
        <v/>
      </c>
      <c r="AE53" s="560"/>
      <c r="AF53" s="560"/>
      <c r="AG53" s="561"/>
      <c r="AI53" s="82" t="str">
        <f t="shared" si="2"/>
        <v/>
      </c>
      <c r="AJ53" s="83" t="str">
        <f>Lists!$Q$2</f>
        <v>Non-Travel</v>
      </c>
      <c r="AK53" s="84"/>
      <c r="AL53" s="83"/>
    </row>
    <row r="54" spans="1:40" ht="15" customHeight="1">
      <c r="A54" s="52" t="str">
        <f t="shared" si="3"/>
        <v/>
      </c>
      <c r="B54" s="79">
        <f t="shared" si="4"/>
        <v>0</v>
      </c>
      <c r="C54" s="80"/>
      <c r="D54" s="80"/>
      <c r="E54" s="80"/>
      <c r="F54" s="80"/>
      <c r="G54" s="80"/>
      <c r="H54" s="80"/>
      <c r="I54" s="80"/>
      <c r="J54" s="80"/>
      <c r="K54" s="80"/>
      <c r="L54" s="80"/>
      <c r="M54" s="80"/>
      <c r="N54" s="80"/>
      <c r="O54" s="80"/>
      <c r="P54" s="80"/>
      <c r="Q54" s="80"/>
      <c r="R54" s="80"/>
      <c r="S54" s="80"/>
      <c r="T54" s="80"/>
      <c r="U54" s="80"/>
      <c r="V54" s="81"/>
      <c r="W54" s="80"/>
      <c r="X54" s="80"/>
      <c r="Y54" s="80"/>
      <c r="Z54" s="503" t="str">
        <f t="shared" si="5"/>
        <v/>
      </c>
      <c r="AA54" s="503"/>
      <c r="AB54" s="503"/>
      <c r="AC54" s="503"/>
      <c r="AD54" s="559" t="str">
        <f t="shared" si="6"/>
        <v/>
      </c>
      <c r="AE54" s="560"/>
      <c r="AF54" s="560"/>
      <c r="AG54" s="561"/>
      <c r="AI54" s="82" t="str">
        <f t="shared" si="2"/>
        <v/>
      </c>
      <c r="AJ54" s="83" t="str">
        <f>Lists!$Q$2</f>
        <v>Non-Travel</v>
      </c>
      <c r="AK54" s="84" t="str">
        <f>IF(AI54=AJ54,AD54,"")</f>
        <v/>
      </c>
      <c r="AL54" s="83"/>
    </row>
    <row r="55" spans="1:40" ht="15" customHeight="1">
      <c r="A55" s="52" t="str">
        <f t="shared" si="3"/>
        <v/>
      </c>
      <c r="B55" s="79">
        <f t="shared" si="4"/>
        <v>0</v>
      </c>
      <c r="C55" s="80"/>
      <c r="D55" s="80"/>
      <c r="E55" s="80"/>
      <c r="F55" s="80"/>
      <c r="G55" s="80"/>
      <c r="H55" s="80"/>
      <c r="I55" s="80"/>
      <c r="J55" s="80"/>
      <c r="K55" s="80"/>
      <c r="L55" s="80"/>
      <c r="M55" s="80"/>
      <c r="N55" s="80"/>
      <c r="O55" s="80"/>
      <c r="P55" s="80"/>
      <c r="Q55" s="80"/>
      <c r="R55" s="80"/>
      <c r="S55" s="80"/>
      <c r="T55" s="80"/>
      <c r="U55" s="80"/>
      <c r="V55" s="81"/>
      <c r="W55" s="80"/>
      <c r="X55" s="80"/>
      <c r="Y55" s="80"/>
      <c r="Z55" s="503" t="str">
        <f t="shared" si="5"/>
        <v/>
      </c>
      <c r="AA55" s="503"/>
      <c r="AB55" s="503"/>
      <c r="AC55" s="503"/>
      <c r="AD55" s="559" t="str">
        <f t="shared" si="6"/>
        <v/>
      </c>
      <c r="AE55" s="560"/>
      <c r="AF55" s="560"/>
      <c r="AG55" s="561"/>
      <c r="AI55" s="82" t="str">
        <f t="shared" si="2"/>
        <v/>
      </c>
      <c r="AJ55" s="83" t="str">
        <f>Lists!$Q$2</f>
        <v>Non-Travel</v>
      </c>
      <c r="AK55" s="84" t="str">
        <f>IF(AI55=AJ55,AD55,"")</f>
        <v/>
      </c>
      <c r="AL55" s="83"/>
    </row>
    <row r="56" spans="1:40" ht="15" customHeight="1">
      <c r="A56" s="52" t="str">
        <f t="shared" si="3"/>
        <v/>
      </c>
      <c r="B56" s="79">
        <f t="shared" si="4"/>
        <v>0</v>
      </c>
      <c r="C56" s="80"/>
      <c r="D56" s="80"/>
      <c r="E56" s="80"/>
      <c r="F56" s="80"/>
      <c r="G56" s="80"/>
      <c r="H56" s="80"/>
      <c r="I56" s="80"/>
      <c r="J56" s="80"/>
      <c r="K56" s="80"/>
      <c r="L56" s="80"/>
      <c r="M56" s="80"/>
      <c r="N56" s="80"/>
      <c r="O56" s="80"/>
      <c r="P56" s="80"/>
      <c r="Q56" s="80"/>
      <c r="R56" s="80"/>
      <c r="S56" s="80"/>
      <c r="T56" s="80"/>
      <c r="U56" s="80"/>
      <c r="V56" s="81"/>
      <c r="W56" s="80"/>
      <c r="X56" s="80"/>
      <c r="Y56" s="80"/>
      <c r="Z56" s="503" t="str">
        <f t="shared" si="5"/>
        <v/>
      </c>
      <c r="AA56" s="503"/>
      <c r="AB56" s="503"/>
      <c r="AC56" s="503"/>
      <c r="AD56" s="559" t="str">
        <f t="shared" si="6"/>
        <v/>
      </c>
      <c r="AE56" s="560"/>
      <c r="AF56" s="560"/>
      <c r="AG56" s="561"/>
      <c r="AI56" s="82" t="str">
        <f t="shared" si="2"/>
        <v/>
      </c>
      <c r="AJ56" s="83" t="str">
        <f>Lists!$Q$2</f>
        <v>Non-Travel</v>
      </c>
      <c r="AK56" s="84"/>
      <c r="AL56" s="83"/>
    </row>
    <row r="57" spans="1:40" ht="15" customHeight="1">
      <c r="A57" s="52" t="str">
        <f t="shared" si="3"/>
        <v/>
      </c>
      <c r="B57" s="79">
        <f t="shared" si="4"/>
        <v>0</v>
      </c>
      <c r="C57" s="80"/>
      <c r="D57" s="80"/>
      <c r="E57" s="80"/>
      <c r="F57" s="80"/>
      <c r="G57" s="80"/>
      <c r="H57" s="80"/>
      <c r="I57" s="80"/>
      <c r="J57" s="80"/>
      <c r="K57" s="80"/>
      <c r="L57" s="80"/>
      <c r="M57" s="80"/>
      <c r="N57" s="80"/>
      <c r="O57" s="80"/>
      <c r="P57" s="80"/>
      <c r="Q57" s="80"/>
      <c r="R57" s="80"/>
      <c r="S57" s="80"/>
      <c r="T57" s="80"/>
      <c r="U57" s="80"/>
      <c r="V57" s="81"/>
      <c r="W57" s="80"/>
      <c r="X57" s="80"/>
      <c r="Y57" s="80"/>
      <c r="Z57" s="503" t="str">
        <f t="shared" si="5"/>
        <v/>
      </c>
      <c r="AA57" s="503"/>
      <c r="AB57" s="503"/>
      <c r="AC57" s="503"/>
      <c r="AD57" s="559" t="str">
        <f t="shared" si="6"/>
        <v/>
      </c>
      <c r="AE57" s="560"/>
      <c r="AF57" s="560"/>
      <c r="AG57" s="561"/>
      <c r="AI57" s="82" t="str">
        <f t="shared" si="2"/>
        <v/>
      </c>
      <c r="AJ57" s="83" t="str">
        <f>Lists!$Q$2</f>
        <v>Non-Travel</v>
      </c>
      <c r="AK57" s="84"/>
      <c r="AL57" s="83"/>
    </row>
    <row r="58" spans="1:40" ht="15" customHeight="1">
      <c r="A58" s="52" t="str">
        <f t="shared" si="3"/>
        <v/>
      </c>
      <c r="B58" s="79">
        <f t="shared" si="4"/>
        <v>0</v>
      </c>
      <c r="C58" s="80"/>
      <c r="D58" s="80"/>
      <c r="E58" s="80"/>
      <c r="F58" s="80"/>
      <c r="G58" s="80"/>
      <c r="H58" s="80"/>
      <c r="I58" s="80"/>
      <c r="J58" s="80"/>
      <c r="K58" s="80"/>
      <c r="L58" s="80"/>
      <c r="M58" s="80"/>
      <c r="N58" s="80"/>
      <c r="O58" s="80"/>
      <c r="P58" s="80"/>
      <c r="Q58" s="80"/>
      <c r="R58" s="80"/>
      <c r="S58" s="80"/>
      <c r="T58" s="80"/>
      <c r="U58" s="80"/>
      <c r="V58" s="81"/>
      <c r="W58" s="80"/>
      <c r="X58" s="80"/>
      <c r="Y58" s="80"/>
      <c r="Z58" s="503" t="str">
        <f t="shared" si="5"/>
        <v/>
      </c>
      <c r="AA58" s="503"/>
      <c r="AB58" s="503"/>
      <c r="AC58" s="503"/>
      <c r="AD58" s="559" t="str">
        <f t="shared" si="6"/>
        <v/>
      </c>
      <c r="AE58" s="560"/>
      <c r="AF58" s="560"/>
      <c r="AG58" s="561"/>
      <c r="AI58" s="82" t="str">
        <f t="shared" si="2"/>
        <v/>
      </c>
      <c r="AJ58" s="83" t="str">
        <f>Lists!$Q$2</f>
        <v>Non-Travel</v>
      </c>
      <c r="AK58" s="84"/>
      <c r="AL58" s="83"/>
    </row>
    <row r="59" spans="1:40" ht="15" customHeight="1">
      <c r="A59" s="52" t="str">
        <f t="shared" si="3"/>
        <v/>
      </c>
      <c r="B59" s="79">
        <f t="shared" si="4"/>
        <v>0</v>
      </c>
      <c r="C59" s="80"/>
      <c r="D59" s="80"/>
      <c r="E59" s="80"/>
      <c r="F59" s="80"/>
      <c r="G59" s="80"/>
      <c r="H59" s="80"/>
      <c r="I59" s="80"/>
      <c r="J59" s="80"/>
      <c r="K59" s="80"/>
      <c r="L59" s="80"/>
      <c r="M59" s="80"/>
      <c r="N59" s="80"/>
      <c r="O59" s="80"/>
      <c r="P59" s="80"/>
      <c r="Q59" s="80"/>
      <c r="R59" s="80"/>
      <c r="S59" s="80"/>
      <c r="T59" s="80"/>
      <c r="U59" s="80"/>
      <c r="V59" s="81"/>
      <c r="W59" s="80"/>
      <c r="X59" s="80"/>
      <c r="Y59" s="80"/>
      <c r="Z59" s="503" t="str">
        <f t="shared" si="5"/>
        <v/>
      </c>
      <c r="AA59" s="503"/>
      <c r="AB59" s="503"/>
      <c r="AC59" s="503"/>
      <c r="AD59" s="559" t="str">
        <f>AD34</f>
        <v/>
      </c>
      <c r="AE59" s="560"/>
      <c r="AF59" s="560"/>
      <c r="AG59" s="561"/>
      <c r="AI59" s="82" t="str">
        <f t="shared" si="2"/>
        <v/>
      </c>
      <c r="AJ59" s="83" t="str">
        <f>Lists!$Q$2</f>
        <v>Non-Travel</v>
      </c>
      <c r="AK59" s="84"/>
      <c r="AL59" s="83"/>
    </row>
    <row r="60" spans="1:40" ht="15" customHeight="1">
      <c r="A60" s="52" t="str">
        <f t="shared" ca="1" si="3"/>
        <v/>
      </c>
      <c r="B60" s="79">
        <f t="shared" si="4"/>
        <v>0</v>
      </c>
      <c r="C60" s="80"/>
      <c r="D60" s="80"/>
      <c r="E60" s="80"/>
      <c r="F60" s="80"/>
      <c r="G60" s="80"/>
      <c r="H60" s="80"/>
      <c r="I60" s="80"/>
      <c r="J60" s="80"/>
      <c r="K60" s="80"/>
      <c r="L60" s="80"/>
      <c r="M60" s="80"/>
      <c r="N60" s="80"/>
      <c r="O60" s="80"/>
      <c r="P60" s="80"/>
      <c r="Q60" s="80"/>
      <c r="R60" s="80"/>
      <c r="S60" s="80"/>
      <c r="T60" s="80"/>
      <c r="U60" s="80"/>
      <c r="V60" s="81"/>
      <c r="W60" s="80"/>
      <c r="X60" s="80"/>
      <c r="Y60" s="80"/>
      <c r="Z60" s="503" t="str">
        <f t="shared" ca="1" si="5"/>
        <v/>
      </c>
      <c r="AA60" s="503"/>
      <c r="AB60" s="503"/>
      <c r="AC60" s="503"/>
      <c r="AD60" s="559" t="str">
        <f t="shared" ca="1" si="6"/>
        <v/>
      </c>
      <c r="AE60" s="560"/>
      <c r="AF60" s="560"/>
      <c r="AG60" s="561"/>
      <c r="AI60" s="82" t="str">
        <f t="shared" ca="1" si="2"/>
        <v/>
      </c>
      <c r="AJ60" s="83" t="str">
        <f>Lists!$Q$2</f>
        <v>Non-Travel</v>
      </c>
      <c r="AK60" s="84"/>
      <c r="AL60" s="83"/>
    </row>
    <row r="61" spans="1:40" ht="15" customHeight="1">
      <c r="A61" s="52" t="str">
        <f t="shared" si="3"/>
        <v/>
      </c>
      <c r="B61" s="79">
        <f t="shared" si="4"/>
        <v>0</v>
      </c>
      <c r="C61" s="80"/>
      <c r="D61" s="80"/>
      <c r="E61" s="80"/>
      <c r="F61" s="80"/>
      <c r="G61" s="80"/>
      <c r="H61" s="80"/>
      <c r="I61" s="80"/>
      <c r="J61" s="80"/>
      <c r="K61" s="80"/>
      <c r="L61" s="80"/>
      <c r="M61" s="80"/>
      <c r="N61" s="80"/>
      <c r="O61" s="80"/>
      <c r="P61" s="80"/>
      <c r="Q61" s="80"/>
      <c r="R61" s="80"/>
      <c r="S61" s="80"/>
      <c r="T61" s="80"/>
      <c r="U61" s="80"/>
      <c r="V61" s="81"/>
      <c r="W61" s="80"/>
      <c r="X61" s="80"/>
      <c r="Y61" s="80"/>
      <c r="Z61" s="503" t="str">
        <f t="shared" si="5"/>
        <v/>
      </c>
      <c r="AA61" s="503"/>
      <c r="AB61" s="503"/>
      <c r="AC61" s="503"/>
      <c r="AD61" s="559" t="str">
        <f t="shared" si="6"/>
        <v/>
      </c>
      <c r="AE61" s="560"/>
      <c r="AF61" s="560"/>
      <c r="AG61" s="561"/>
      <c r="AI61" s="82" t="str">
        <f t="shared" si="2"/>
        <v/>
      </c>
      <c r="AJ61" s="83" t="str">
        <f>Lists!$Q$2</f>
        <v>Non-Travel</v>
      </c>
      <c r="AK61" s="84"/>
      <c r="AL61" s="83"/>
    </row>
    <row r="62" spans="1:40" ht="15" customHeight="1">
      <c r="A62" s="52" t="str">
        <f t="shared" si="3"/>
        <v/>
      </c>
      <c r="B62" s="79">
        <f t="shared" si="4"/>
        <v>0</v>
      </c>
      <c r="C62" s="80"/>
      <c r="D62" s="80"/>
      <c r="E62" s="80"/>
      <c r="F62" s="80"/>
      <c r="G62" s="80"/>
      <c r="H62" s="80"/>
      <c r="I62" s="80"/>
      <c r="J62" s="80"/>
      <c r="K62" s="80"/>
      <c r="L62" s="80"/>
      <c r="M62" s="80"/>
      <c r="N62" s="80"/>
      <c r="O62" s="80"/>
      <c r="P62" s="80"/>
      <c r="Q62" s="80"/>
      <c r="R62" s="80"/>
      <c r="S62" s="80"/>
      <c r="T62" s="80"/>
      <c r="U62" s="80"/>
      <c r="V62" s="81"/>
      <c r="W62" s="80"/>
      <c r="X62" s="80"/>
      <c r="Y62" s="80"/>
      <c r="Z62" s="503" t="str">
        <f t="shared" si="5"/>
        <v/>
      </c>
      <c r="AA62" s="503"/>
      <c r="AB62" s="503"/>
      <c r="AC62" s="503"/>
      <c r="AD62" s="559" t="str">
        <f t="shared" si="6"/>
        <v/>
      </c>
      <c r="AE62" s="560"/>
      <c r="AF62" s="560"/>
      <c r="AG62" s="561"/>
      <c r="AI62" s="82" t="str">
        <f t="shared" si="2"/>
        <v/>
      </c>
      <c r="AJ62" s="83" t="str">
        <f>Lists!$Q$2</f>
        <v>Non-Travel</v>
      </c>
      <c r="AK62" s="84"/>
      <c r="AL62" s="83"/>
    </row>
    <row r="63" spans="1:40" ht="15" customHeight="1">
      <c r="A63" s="52" t="str">
        <f t="shared" si="3"/>
        <v/>
      </c>
      <c r="B63" s="79">
        <f t="shared" si="4"/>
        <v>0</v>
      </c>
      <c r="C63" s="80"/>
      <c r="D63" s="80"/>
      <c r="E63" s="80"/>
      <c r="F63" s="80"/>
      <c r="G63" s="80"/>
      <c r="H63" s="80"/>
      <c r="I63" s="80"/>
      <c r="J63" s="80"/>
      <c r="K63" s="80"/>
      <c r="L63" s="80"/>
      <c r="M63" s="80"/>
      <c r="N63" s="80"/>
      <c r="O63" s="80"/>
      <c r="P63" s="80"/>
      <c r="Q63" s="80"/>
      <c r="R63" s="80"/>
      <c r="S63" s="80"/>
      <c r="T63" s="80"/>
      <c r="U63" s="80"/>
      <c r="V63" s="81"/>
      <c r="W63" s="80"/>
      <c r="X63" s="80"/>
      <c r="Y63" s="80"/>
      <c r="Z63" s="503" t="str">
        <f t="shared" si="5"/>
        <v/>
      </c>
      <c r="AA63" s="503"/>
      <c r="AB63" s="503"/>
      <c r="AC63" s="503"/>
      <c r="AD63" s="559" t="str">
        <f t="shared" si="6"/>
        <v/>
      </c>
      <c r="AE63" s="560"/>
      <c r="AF63" s="560"/>
      <c r="AG63" s="561"/>
      <c r="AI63" s="82" t="str">
        <f t="shared" si="2"/>
        <v/>
      </c>
      <c r="AJ63" s="83" t="str">
        <f>Lists!$Q$2</f>
        <v>Non-Travel</v>
      </c>
      <c r="AK63" s="84"/>
      <c r="AL63" s="83"/>
    </row>
    <row r="64" spans="1:40" ht="15" customHeight="1">
      <c r="A64" s="52" t="str">
        <f t="shared" si="3"/>
        <v/>
      </c>
      <c r="B64" s="79">
        <f t="shared" si="4"/>
        <v>0</v>
      </c>
      <c r="C64" s="80"/>
      <c r="D64" s="80"/>
      <c r="E64" s="80"/>
      <c r="F64" s="80"/>
      <c r="G64" s="80"/>
      <c r="H64" s="80"/>
      <c r="I64" s="80"/>
      <c r="J64" s="80"/>
      <c r="K64" s="80"/>
      <c r="L64" s="80"/>
      <c r="M64" s="80"/>
      <c r="N64" s="80"/>
      <c r="O64" s="80"/>
      <c r="P64" s="80"/>
      <c r="Q64" s="80"/>
      <c r="R64" s="80"/>
      <c r="S64" s="80"/>
      <c r="T64" s="80"/>
      <c r="U64" s="80"/>
      <c r="V64" s="81"/>
      <c r="W64" s="80"/>
      <c r="X64" s="80"/>
      <c r="Y64" s="80"/>
      <c r="Z64" s="503" t="str">
        <f t="shared" si="5"/>
        <v/>
      </c>
      <c r="AA64" s="503"/>
      <c r="AB64" s="503"/>
      <c r="AC64" s="503"/>
      <c r="AD64" s="559" t="str">
        <f t="shared" si="6"/>
        <v/>
      </c>
      <c r="AE64" s="560"/>
      <c r="AF64" s="560"/>
      <c r="AG64" s="561"/>
      <c r="AI64" s="82" t="str">
        <f t="shared" si="2"/>
        <v/>
      </c>
      <c r="AJ64" s="83" t="str">
        <f>Lists!$Q$2</f>
        <v>Non-Travel</v>
      </c>
      <c r="AK64" s="84"/>
      <c r="AL64" s="83"/>
    </row>
    <row r="65" spans="1:38" ht="15" customHeight="1">
      <c r="A65" s="52" t="str">
        <f t="shared" si="3"/>
        <v/>
      </c>
      <c r="B65" s="79">
        <f t="shared" si="4"/>
        <v>0</v>
      </c>
      <c r="C65" s="80"/>
      <c r="D65" s="80"/>
      <c r="E65" s="80"/>
      <c r="F65" s="80"/>
      <c r="G65" s="80"/>
      <c r="H65" s="80"/>
      <c r="I65" s="80"/>
      <c r="J65" s="80"/>
      <c r="K65" s="80"/>
      <c r="L65" s="80"/>
      <c r="M65" s="80"/>
      <c r="N65" s="80"/>
      <c r="O65" s="80"/>
      <c r="P65" s="80"/>
      <c r="Q65" s="80"/>
      <c r="R65" s="80"/>
      <c r="S65" s="80"/>
      <c r="T65" s="80"/>
      <c r="U65" s="80"/>
      <c r="V65" s="81"/>
      <c r="W65" s="80"/>
      <c r="X65" s="80"/>
      <c r="Y65" s="80"/>
      <c r="Z65" s="503" t="str">
        <f t="shared" si="5"/>
        <v/>
      </c>
      <c r="AA65" s="503"/>
      <c r="AB65" s="503"/>
      <c r="AC65" s="503"/>
      <c r="AD65" s="559" t="str">
        <f t="shared" si="6"/>
        <v/>
      </c>
      <c r="AE65" s="560"/>
      <c r="AF65" s="560"/>
      <c r="AG65" s="561"/>
      <c r="AI65" s="82" t="str">
        <f t="shared" si="2"/>
        <v/>
      </c>
      <c r="AJ65" s="83" t="str">
        <f>Lists!$Q$2</f>
        <v>Non-Travel</v>
      </c>
      <c r="AK65" s="84"/>
      <c r="AL65" s="83"/>
    </row>
    <row r="66" spans="1:38" ht="15" customHeight="1">
      <c r="A66" s="52" t="str">
        <f t="shared" si="3"/>
        <v/>
      </c>
      <c r="B66" s="79">
        <f t="shared" si="4"/>
        <v>0</v>
      </c>
      <c r="C66" s="80"/>
      <c r="D66" s="80"/>
      <c r="E66" s="80"/>
      <c r="F66" s="80"/>
      <c r="G66" s="80"/>
      <c r="H66" s="80"/>
      <c r="I66" s="80"/>
      <c r="J66" s="80"/>
      <c r="K66" s="80"/>
      <c r="L66" s="80"/>
      <c r="M66" s="80"/>
      <c r="N66" s="80"/>
      <c r="O66" s="80"/>
      <c r="P66" s="80"/>
      <c r="Q66" s="80"/>
      <c r="R66" s="80"/>
      <c r="S66" s="80"/>
      <c r="T66" s="80"/>
      <c r="U66" s="80"/>
      <c r="V66" s="81"/>
      <c r="W66" s="80"/>
      <c r="X66" s="80"/>
      <c r="Y66" s="80"/>
      <c r="Z66" s="503" t="str">
        <f t="shared" si="5"/>
        <v/>
      </c>
      <c r="AA66" s="503"/>
      <c r="AB66" s="503"/>
      <c r="AC66" s="503"/>
      <c r="AD66" s="559" t="str">
        <f t="shared" si="6"/>
        <v/>
      </c>
      <c r="AE66" s="560"/>
      <c r="AF66" s="560"/>
      <c r="AG66" s="561"/>
      <c r="AI66" s="82" t="str">
        <f t="shared" si="2"/>
        <v/>
      </c>
      <c r="AJ66" s="83" t="str">
        <f>Lists!$Q$2</f>
        <v>Non-Travel</v>
      </c>
      <c r="AK66" s="84"/>
      <c r="AL66" s="83"/>
    </row>
    <row r="67" spans="1:38" ht="15" customHeight="1">
      <c r="A67" s="52" t="str">
        <f t="shared" si="3"/>
        <v/>
      </c>
      <c r="B67" s="79">
        <f t="shared" si="4"/>
        <v>0</v>
      </c>
      <c r="C67" s="80"/>
      <c r="D67" s="80"/>
      <c r="E67" s="80"/>
      <c r="F67" s="80"/>
      <c r="G67" s="80"/>
      <c r="H67" s="80"/>
      <c r="I67" s="80"/>
      <c r="J67" s="80"/>
      <c r="K67" s="80"/>
      <c r="L67" s="80"/>
      <c r="M67" s="80"/>
      <c r="N67" s="80"/>
      <c r="O67" s="80"/>
      <c r="P67" s="80"/>
      <c r="Q67" s="80"/>
      <c r="R67" s="80"/>
      <c r="S67" s="80"/>
      <c r="T67" s="80"/>
      <c r="U67" s="80"/>
      <c r="V67" s="81"/>
      <c r="W67" s="80"/>
      <c r="X67" s="80"/>
      <c r="Y67" s="80"/>
      <c r="Z67" s="503" t="str">
        <f t="shared" si="5"/>
        <v/>
      </c>
      <c r="AA67" s="503"/>
      <c r="AB67" s="503"/>
      <c r="AC67" s="503"/>
      <c r="AD67" s="559" t="str">
        <f t="shared" si="6"/>
        <v/>
      </c>
      <c r="AE67" s="560"/>
      <c r="AF67" s="560"/>
      <c r="AG67" s="561"/>
      <c r="AI67" s="82" t="str">
        <f t="shared" si="2"/>
        <v/>
      </c>
      <c r="AJ67" s="83" t="str">
        <f>Lists!$Q$2</f>
        <v>Non-Travel</v>
      </c>
      <c r="AK67" s="84"/>
      <c r="AL67" s="83"/>
    </row>
    <row r="68" spans="1:38" ht="15" customHeight="1">
      <c r="A68" s="52" t="str">
        <f t="shared" si="3"/>
        <v/>
      </c>
      <c r="B68" s="79">
        <f t="shared" si="4"/>
        <v>0</v>
      </c>
      <c r="C68" s="80"/>
      <c r="D68" s="80"/>
      <c r="E68" s="80"/>
      <c r="F68" s="80"/>
      <c r="G68" s="80"/>
      <c r="H68" s="80"/>
      <c r="I68" s="80"/>
      <c r="J68" s="80"/>
      <c r="K68" s="80"/>
      <c r="L68" s="80"/>
      <c r="M68" s="80"/>
      <c r="N68" s="80"/>
      <c r="O68" s="80"/>
      <c r="P68" s="80"/>
      <c r="Q68" s="80"/>
      <c r="R68" s="80"/>
      <c r="S68" s="80"/>
      <c r="T68" s="80"/>
      <c r="U68" s="80"/>
      <c r="V68" s="81"/>
      <c r="W68" s="80"/>
      <c r="X68" s="80"/>
      <c r="Y68" s="80"/>
      <c r="Z68" s="503" t="str">
        <f t="shared" si="5"/>
        <v/>
      </c>
      <c r="AA68" s="503"/>
      <c r="AB68" s="503"/>
      <c r="AC68" s="503"/>
      <c r="AD68" s="559" t="str">
        <f t="shared" si="6"/>
        <v/>
      </c>
      <c r="AE68" s="560"/>
      <c r="AF68" s="560"/>
      <c r="AG68" s="561"/>
      <c r="AI68" s="82" t="str">
        <f t="shared" si="2"/>
        <v/>
      </c>
      <c r="AJ68" s="83" t="str">
        <f>Lists!$Q$2</f>
        <v>Non-Travel</v>
      </c>
      <c r="AK68" s="84"/>
      <c r="AL68" s="83"/>
    </row>
    <row r="69" spans="1:38" ht="15" customHeight="1">
      <c r="A69" s="52" t="str">
        <f t="shared" si="3"/>
        <v/>
      </c>
      <c r="B69" s="79">
        <f t="shared" si="4"/>
        <v>0</v>
      </c>
      <c r="C69" s="80"/>
      <c r="D69" s="80"/>
      <c r="E69" s="80"/>
      <c r="F69" s="80"/>
      <c r="G69" s="80"/>
      <c r="H69" s="80"/>
      <c r="I69" s="80"/>
      <c r="J69" s="80"/>
      <c r="K69" s="80"/>
      <c r="L69" s="80"/>
      <c r="M69" s="80"/>
      <c r="N69" s="80"/>
      <c r="O69" s="80"/>
      <c r="P69" s="80"/>
      <c r="Q69" s="80"/>
      <c r="R69" s="80"/>
      <c r="S69" s="80"/>
      <c r="T69" s="80"/>
      <c r="U69" s="80"/>
      <c r="V69" s="81"/>
      <c r="W69" s="80"/>
      <c r="X69" s="80"/>
      <c r="Y69" s="80"/>
      <c r="Z69" s="503" t="str">
        <f t="shared" si="5"/>
        <v/>
      </c>
      <c r="AA69" s="503"/>
      <c r="AB69" s="503"/>
      <c r="AC69" s="503"/>
      <c r="AD69" s="559" t="str">
        <f t="shared" si="6"/>
        <v/>
      </c>
      <c r="AE69" s="560"/>
      <c r="AF69" s="560"/>
      <c r="AG69" s="561"/>
      <c r="AI69" s="82" t="str">
        <f t="shared" si="2"/>
        <v/>
      </c>
      <c r="AJ69" s="83" t="str">
        <f>Lists!$Q$2</f>
        <v>Non-Travel</v>
      </c>
      <c r="AK69" s="84"/>
      <c r="AL69" s="83"/>
    </row>
    <row r="70" spans="1:38">
      <c r="A70" s="52" t="str">
        <f>$A$24</f>
        <v>Separate travel</v>
      </c>
      <c r="V70" s="550" t="s">
        <v>395</v>
      </c>
      <c r="W70" s="550"/>
      <c r="X70" s="550"/>
      <c r="Y70" s="550"/>
      <c r="Z70" s="552">
        <f ca="1">Z78</f>
        <v>39.148936170212771</v>
      </c>
      <c r="AA70" s="552"/>
      <c r="AB70" s="552"/>
      <c r="AC70" s="552"/>
      <c r="AD70" s="552">
        <f ca="1">AD78</f>
        <v>1174.4680851063831</v>
      </c>
      <c r="AE70" s="552"/>
      <c r="AF70" s="552"/>
      <c r="AG70" s="552"/>
    </row>
    <row r="71" spans="1:38" ht="6.95" customHeight="1">
      <c r="A71" s="52" t="str">
        <f>$A$24</f>
        <v>Separate travel</v>
      </c>
    </row>
    <row r="72" spans="1:38" ht="16.5" thickBot="1">
      <c r="A72" s="52" t="str">
        <f t="shared" ref="A72:A83" si="7">$A$24</f>
        <v>Separate travel</v>
      </c>
      <c r="B72" s="58" t="s">
        <v>327</v>
      </c>
      <c r="AI72" s="91"/>
      <c r="AJ72" s="92"/>
      <c r="AL72" s="92"/>
    </row>
    <row r="73" spans="1:38">
      <c r="A73" s="52" t="str">
        <f t="shared" si="7"/>
        <v>Separate travel</v>
      </c>
      <c r="B73" s="563" t="s">
        <v>328</v>
      </c>
      <c r="C73" s="564"/>
      <c r="D73" s="564"/>
      <c r="E73" s="564"/>
      <c r="F73" s="564"/>
      <c r="G73" s="564"/>
      <c r="H73" s="564"/>
      <c r="I73" s="564"/>
      <c r="J73" s="564"/>
      <c r="K73" s="565" t="s">
        <v>331</v>
      </c>
      <c r="L73" s="566"/>
      <c r="M73" s="566"/>
      <c r="N73" s="566"/>
      <c r="O73" s="566"/>
      <c r="P73" s="566"/>
      <c r="Q73" s="566"/>
      <c r="R73" s="566"/>
      <c r="S73" s="566"/>
      <c r="T73" s="567"/>
      <c r="U73" s="564" t="s">
        <v>332</v>
      </c>
      <c r="V73" s="564"/>
      <c r="W73" s="564"/>
      <c r="X73" s="564"/>
      <c r="Y73" s="564"/>
      <c r="Z73" s="564"/>
      <c r="AA73" s="564"/>
      <c r="AB73" s="553" t="s">
        <v>333</v>
      </c>
      <c r="AC73" s="553"/>
      <c r="AD73" s="553"/>
      <c r="AE73" s="553"/>
      <c r="AF73" s="553"/>
      <c r="AG73" s="554"/>
      <c r="AH73" s="93"/>
      <c r="AL73" s="92"/>
    </row>
    <row r="74" spans="1:38">
      <c r="A74" s="52" t="str">
        <f t="shared" si="7"/>
        <v>Separate travel</v>
      </c>
      <c r="B74" s="633" t="s">
        <v>329</v>
      </c>
      <c r="C74" s="634"/>
      <c r="D74" s="634"/>
      <c r="E74" s="634"/>
      <c r="F74" s="634"/>
      <c r="G74" s="634"/>
      <c r="H74" s="634"/>
      <c r="I74" s="634"/>
      <c r="J74" s="634"/>
      <c r="K74" s="635" t="str">
        <f>IF('Tour Application Form'!J100="","",'Tour Application Form'!J100)</f>
        <v/>
      </c>
      <c r="L74" s="636"/>
      <c r="M74" s="636"/>
      <c r="N74" s="636"/>
      <c r="O74" s="636"/>
      <c r="P74" s="636"/>
      <c r="Q74" s="636"/>
      <c r="R74" s="636"/>
      <c r="S74" s="636"/>
      <c r="T74" s="637"/>
      <c r="U74" s="568" t="str">
        <f>IF('Tour Application Form'!T100="","",'Tour Application Form'!T100)</f>
        <v/>
      </c>
      <c r="V74" s="568"/>
      <c r="W74" s="568"/>
      <c r="X74" s="568"/>
      <c r="Y74" s="568"/>
      <c r="Z74" s="568"/>
      <c r="AA74" s="568"/>
      <c r="AB74" s="555" t="str">
        <f>IF('Tour Application Form'!AA100="","",'Tour Application Form'!AA100)</f>
        <v/>
      </c>
      <c r="AC74" s="555"/>
      <c r="AD74" s="555" t="str">
        <f>IF('Tour Application Form'!AC100="","",'Tour Application Form'!AC100)</f>
        <v/>
      </c>
      <c r="AE74" s="555"/>
      <c r="AF74" s="555" t="str">
        <f>IF('Tour Application Form'!AE100="","",'Tour Application Form'!AE100)</f>
        <v/>
      </c>
      <c r="AG74" s="556"/>
      <c r="AH74" s="94"/>
    </row>
    <row r="75" spans="1:38" ht="16.5" thickBot="1">
      <c r="A75" s="52" t="str">
        <f t="shared" si="7"/>
        <v>Separate travel</v>
      </c>
      <c r="B75" s="646" t="s">
        <v>330</v>
      </c>
      <c r="C75" s="647"/>
      <c r="D75" s="647"/>
      <c r="E75" s="647"/>
      <c r="F75" s="647"/>
      <c r="G75" s="647"/>
      <c r="H75" s="647"/>
      <c r="I75" s="647"/>
      <c r="J75" s="647"/>
      <c r="K75" s="643" t="str">
        <f>IF('Tour Application Form'!J101="","",'Tour Application Form'!J101)</f>
        <v/>
      </c>
      <c r="L75" s="644"/>
      <c r="M75" s="644"/>
      <c r="N75" s="644"/>
      <c r="O75" s="644"/>
      <c r="P75" s="644"/>
      <c r="Q75" s="644"/>
      <c r="R75" s="644"/>
      <c r="S75" s="644"/>
      <c r="T75" s="645"/>
      <c r="U75" s="551" t="str">
        <f>IF('Tour Application Form'!T101="","",'Tour Application Form'!T101)</f>
        <v/>
      </c>
      <c r="V75" s="551"/>
      <c r="W75" s="551"/>
      <c r="X75" s="551"/>
      <c r="Y75" s="551"/>
      <c r="Z75" s="551"/>
      <c r="AA75" s="551"/>
      <c r="AB75" s="557" t="str">
        <f>IF('Tour Application Form'!AA101="","",'Tour Application Form'!AA101)</f>
        <v/>
      </c>
      <c r="AC75" s="557"/>
      <c r="AD75" s="557" t="str">
        <f>IF('Tour Application Form'!AC101="","",'Tour Application Form'!AC101)</f>
        <v/>
      </c>
      <c r="AE75" s="557"/>
      <c r="AF75" s="557" t="str">
        <f>IF('Tour Application Form'!AE101="","",'Tour Application Form'!AE101)</f>
        <v/>
      </c>
      <c r="AG75" s="558"/>
      <c r="AH75" s="94"/>
    </row>
    <row r="76" spans="1:38" ht="6.95" customHeight="1">
      <c r="A76" s="52" t="str">
        <f t="shared" si="7"/>
        <v>Separate travel</v>
      </c>
    </row>
    <row r="77" spans="1:38">
      <c r="A77" s="52" t="str">
        <f t="shared" si="7"/>
        <v>Separate travel</v>
      </c>
      <c r="B77" s="58" t="s">
        <v>358</v>
      </c>
      <c r="Z77" s="632" t="str">
        <f>Z49</f>
        <v>Cost/Person</v>
      </c>
      <c r="AA77" s="632"/>
      <c r="AB77" s="632"/>
      <c r="AC77" s="632"/>
      <c r="AD77" s="632" t="str">
        <f>AD49</f>
        <v>Total Cost</v>
      </c>
      <c r="AE77" s="632"/>
      <c r="AF77" s="632"/>
      <c r="AG77" s="632"/>
    </row>
    <row r="78" spans="1:38">
      <c r="A78" s="52" t="str">
        <f t="shared" si="7"/>
        <v>Separate travel</v>
      </c>
      <c r="S78" s="640" t="s">
        <v>359</v>
      </c>
      <c r="T78" s="640"/>
      <c r="U78" s="640"/>
      <c r="V78" s="640"/>
      <c r="W78" s="640"/>
      <c r="X78" s="640"/>
      <c r="Y78" s="640"/>
      <c r="Z78" s="648">
        <f ca="1">IF('Tour Application Form'!AK18="","",IF(AD78="","",AD78/'Tour Application Form'!AK18))</f>
        <v>39.148936170212771</v>
      </c>
      <c r="AA78" s="632"/>
      <c r="AB78" s="632"/>
      <c r="AC78" s="632"/>
      <c r="AD78" s="648">
        <f ca="1">IF('Tour Application Form'!AK18="","",AN49)</f>
        <v>1174.4680851063831</v>
      </c>
      <c r="AE78" s="632"/>
      <c r="AF78" s="632"/>
      <c r="AG78" s="632"/>
    </row>
    <row r="79" spans="1:38">
      <c r="A79" s="52" t="str">
        <f t="shared" si="7"/>
        <v>Separate travel</v>
      </c>
      <c r="Q79" s="58"/>
      <c r="R79" s="58"/>
      <c r="S79" s="58"/>
      <c r="T79" s="640" t="s">
        <v>360</v>
      </c>
      <c r="U79" s="640"/>
      <c r="V79" s="640"/>
      <c r="W79" s="640"/>
      <c r="X79" s="640"/>
      <c r="Y79" s="640"/>
      <c r="Z79" s="648">
        <f ca="1">IF('Tour Application Form'!AK18="","",IF(AD79=0,0,AD79/'Tour Application Form'!AK18))</f>
        <v>14.666666666666666</v>
      </c>
      <c r="AA79" s="648"/>
      <c r="AB79" s="648"/>
      <c r="AC79" s="648"/>
      <c r="AD79" s="648">
        <f ca="1">IF('Tour Application Form'!AK18="","",AL49)</f>
        <v>440</v>
      </c>
      <c r="AE79" s="632"/>
      <c r="AF79" s="632"/>
      <c r="AG79" s="632"/>
    </row>
    <row r="80" spans="1:38">
      <c r="A80" s="52" t="str">
        <f t="shared" si="7"/>
        <v>Separate travel</v>
      </c>
      <c r="T80" s="640" t="s">
        <v>1030</v>
      </c>
      <c r="U80" s="640"/>
      <c r="V80" s="640"/>
      <c r="W80" s="640"/>
      <c r="X80" s="640"/>
      <c r="Y80" s="640"/>
      <c r="Z80" s="648">
        <f ca="1">IF('Tour Application Form'!AK18="","",IF(AD80=0,0,AD80/'Tour Application Form'!AK18))</f>
        <v>0</v>
      </c>
      <c r="AA80" s="648"/>
      <c r="AB80" s="648"/>
      <c r="AC80" s="648"/>
      <c r="AD80" s="648">
        <f ca="1">IF('Tour Application Form'!AK18="","",AM49)</f>
        <v>0</v>
      </c>
      <c r="AE80" s="632"/>
      <c r="AF80" s="632"/>
      <c r="AG80" s="632"/>
    </row>
    <row r="81" spans="1:38">
      <c r="A81" s="52" t="str">
        <f t="shared" si="7"/>
        <v>Separate travel</v>
      </c>
      <c r="B81" s="641" t="s">
        <v>363</v>
      </c>
      <c r="C81" s="641"/>
      <c r="D81" s="641"/>
      <c r="E81" s="641"/>
      <c r="F81" s="641"/>
      <c r="G81" s="642">
        <f>Lists!R2</f>
        <v>0.4</v>
      </c>
      <c r="H81" s="632"/>
      <c r="I81" s="632"/>
      <c r="Q81" s="58"/>
      <c r="R81" s="58"/>
      <c r="S81" s="58"/>
      <c r="T81" s="58"/>
      <c r="U81" s="58"/>
      <c r="V81" s="58"/>
      <c r="W81" s="58"/>
      <c r="X81" s="95"/>
      <c r="Y81" s="96" t="s">
        <v>285</v>
      </c>
      <c r="Z81" s="649">
        <f ca="1">IF(Z78="",IF(Z79="",0,Z79+Z80),Z78+Z79+Z80)</f>
        <v>53.815602836879435</v>
      </c>
      <c r="AA81" s="649"/>
      <c r="AB81" s="649"/>
      <c r="AC81" s="649"/>
      <c r="AD81" s="649">
        <f ca="1">IF(AD78="",IF(AD79="",0,AD79+AD80),AD78+AD79+AD80)</f>
        <v>1614.4680851063831</v>
      </c>
      <c r="AE81" s="649"/>
      <c r="AF81" s="649"/>
      <c r="AG81" s="649"/>
      <c r="AI81" s="56">
        <f ca="1">(AD78+AD79+AD80)/'Tour Application Form'!AK18*'Tour Application Form'!AK16</f>
        <v>1614.4680851063831</v>
      </c>
      <c r="AJ81" s="92"/>
    </row>
    <row r="82" spans="1:38">
      <c r="A82" s="52" t="str">
        <f t="shared" si="7"/>
        <v>Separate travel</v>
      </c>
      <c r="B82" s="639" t="s">
        <v>1025</v>
      </c>
      <c r="C82" s="639"/>
      <c r="D82" s="639"/>
      <c r="E82" s="639"/>
      <c r="F82" s="639"/>
      <c r="G82" s="549" t="s">
        <v>1027</v>
      </c>
      <c r="H82" s="549"/>
      <c r="I82" s="549"/>
      <c r="L82" s="640" t="s">
        <v>1026</v>
      </c>
      <c r="M82" s="640"/>
      <c r="N82" s="640"/>
      <c r="O82" s="640"/>
      <c r="P82" s="640"/>
      <c r="Q82" s="640"/>
      <c r="R82" s="640"/>
      <c r="S82" s="640"/>
      <c r="T82" s="640"/>
      <c r="U82" s="640"/>
      <c r="V82" s="640"/>
      <c r="W82" s="640"/>
      <c r="X82" s="640"/>
      <c r="Y82" s="640"/>
      <c r="Z82" s="648">
        <f ca="1">IF('Tour Application Form'!AK16="","",IF(AD82=0,0,AD82/'Tour Application Form'!AK16))</f>
        <v>5.8666666666666663</v>
      </c>
      <c r="AA82" s="632"/>
      <c r="AB82" s="632"/>
      <c r="AC82" s="632"/>
      <c r="AD82" s="648">
        <f ca="1">IF('Tour Application Form'!AK18="","",IF(AD79=0,0,(AD79*G81)/'Tour Application Form'!AK18*'Tour Application Form'!AK16))</f>
        <v>176</v>
      </c>
      <c r="AE82" s="632"/>
      <c r="AF82" s="632"/>
      <c r="AG82" s="632"/>
    </row>
    <row r="83" spans="1:38">
      <c r="A83" s="52" t="str">
        <f t="shared" si="7"/>
        <v>Separate travel</v>
      </c>
      <c r="G83" s="97"/>
      <c r="H83" s="97"/>
      <c r="I83" s="97"/>
      <c r="L83" s="640" t="s">
        <v>1029</v>
      </c>
      <c r="M83" s="640"/>
      <c r="N83" s="640"/>
      <c r="O83" s="640"/>
      <c r="P83" s="640"/>
      <c r="Q83" s="640"/>
      <c r="R83" s="640"/>
      <c r="S83" s="640"/>
      <c r="T83" s="640"/>
      <c r="U83" s="640"/>
      <c r="V83" s="640"/>
      <c r="W83" s="640"/>
      <c r="X83" s="640"/>
      <c r="Y83" s="640"/>
      <c r="Z83" s="648">
        <f ca="1">IF('Tour Application Form'!AK16="","",IF(AD83=0,0,AD83/'Tour Application Form'!AK16))</f>
        <v>0</v>
      </c>
      <c r="AA83" s="632"/>
      <c r="AB83" s="632"/>
      <c r="AC83" s="632"/>
      <c r="AD83" s="648">
        <f ca="1">IF('Tour Application Form'!AK18="","",IF(AD80=0,0,(AD80*G82)/'Tour Application Form'!AK18*'Tour Application Form'!AK16))</f>
        <v>0</v>
      </c>
      <c r="AE83" s="632"/>
      <c r="AF83" s="632"/>
      <c r="AG83" s="632"/>
      <c r="AI83" s="82"/>
      <c r="AJ83" s="83"/>
      <c r="AK83" s="84"/>
      <c r="AL83" s="84"/>
    </row>
    <row r="84" spans="1:38" ht="12.75" customHeight="1">
      <c r="Q84" s="58"/>
      <c r="R84" s="58"/>
      <c r="S84" s="58"/>
      <c r="T84" s="58"/>
      <c r="U84" s="58"/>
      <c r="V84" s="58"/>
      <c r="W84" s="58"/>
      <c r="X84" s="58"/>
      <c r="Y84" s="58"/>
      <c r="Z84" s="58"/>
      <c r="AA84" s="58"/>
      <c r="AB84" s="58"/>
      <c r="AC84" s="58"/>
      <c r="AD84" s="58"/>
      <c r="AE84" s="58"/>
      <c r="AF84" s="58"/>
      <c r="AG84" s="58"/>
      <c r="AH84" s="58"/>
      <c r="AI84" s="55" t="str">
        <f>AI24</f>
        <v>Travel</v>
      </c>
      <c r="AJ84" s="58" t="str">
        <f>AK24</f>
        <v>Subsidy?</v>
      </c>
    </row>
    <row r="85" spans="1:38" ht="12.75" customHeight="1">
      <c r="AI85" s="55" t="str">
        <f>Lists!Q2</f>
        <v>Non-Travel</v>
      </c>
      <c r="AJ85" s="58" t="str">
        <f>Lists!Q2</f>
        <v>Non-Travel</v>
      </c>
    </row>
  </sheetData>
  <sheetProtection password="C887" sheet="1" objects="1" scenarios="1" selectLockedCells="1" autoFilter="0"/>
  <autoFilter ref="A1:A85"/>
  <mergeCells count="174">
    <mergeCell ref="L83:Y83"/>
    <mergeCell ref="S78:Y78"/>
    <mergeCell ref="T79:Y79"/>
    <mergeCell ref="T80:Y80"/>
    <mergeCell ref="Z79:AC79"/>
    <mergeCell ref="AD79:AG79"/>
    <mergeCell ref="Z83:AC83"/>
    <mergeCell ref="AD83:AG83"/>
    <mergeCell ref="Z80:AC80"/>
    <mergeCell ref="AD80:AG80"/>
    <mergeCell ref="B82:F82"/>
    <mergeCell ref="L82:Y82"/>
    <mergeCell ref="B81:F81"/>
    <mergeCell ref="G81:I81"/>
    <mergeCell ref="K75:T75"/>
    <mergeCell ref="B75:J75"/>
    <mergeCell ref="U74:AA74"/>
    <mergeCell ref="AD78:AG78"/>
    <mergeCell ref="Z78:AC78"/>
    <mergeCell ref="AD82:AG82"/>
    <mergeCell ref="AD81:AG81"/>
    <mergeCell ref="Z82:AC82"/>
    <mergeCell ref="Z81:AC81"/>
    <mergeCell ref="Z77:AC77"/>
    <mergeCell ref="AB75:AC75"/>
    <mergeCell ref="U73:AA73"/>
    <mergeCell ref="AB74:AC74"/>
    <mergeCell ref="AD77:AG77"/>
    <mergeCell ref="B74:J74"/>
    <mergeCell ref="K74:T74"/>
    <mergeCell ref="Z27:AC27"/>
    <mergeCell ref="L18:M18"/>
    <mergeCell ref="Z25:AC25"/>
    <mergeCell ref="Z28:AC28"/>
    <mergeCell ref="Z30:AC30"/>
    <mergeCell ref="Z29:AC29"/>
    <mergeCell ref="Z24:AC24"/>
    <mergeCell ref="AD27:AG27"/>
    <mergeCell ref="F18:G18"/>
    <mergeCell ref="AD28:AG28"/>
    <mergeCell ref="AD36:AG36"/>
    <mergeCell ref="AD43:AG43"/>
    <mergeCell ref="AD31:AG31"/>
    <mergeCell ref="AD30:AG30"/>
    <mergeCell ref="AD29:AG29"/>
    <mergeCell ref="Z31:AC31"/>
    <mergeCell ref="AD44:AG44"/>
    <mergeCell ref="Z38:AC38"/>
    <mergeCell ref="AD38:AG38"/>
    <mergeCell ref="I12:W12"/>
    <mergeCell ref="Y12:AG13"/>
    <mergeCell ref="AD24:AG24"/>
    <mergeCell ref="N18:O18"/>
    <mergeCell ref="T18:U18"/>
    <mergeCell ref="Z26:AC26"/>
    <mergeCell ref="AD26:AG26"/>
    <mergeCell ref="X17:AD17"/>
    <mergeCell ref="J18:K18"/>
    <mergeCell ref="H18:I18"/>
    <mergeCell ref="R18:S18"/>
    <mergeCell ref="B8:H8"/>
    <mergeCell ref="I8:AG8"/>
    <mergeCell ref="B10:G10"/>
    <mergeCell ref="AC10:AG10"/>
    <mergeCell ref="B2:AG2"/>
    <mergeCell ref="B4:AG4"/>
    <mergeCell ref="B6:H6"/>
    <mergeCell ref="B7:H7"/>
    <mergeCell ref="I7:AG7"/>
    <mergeCell ref="B11:H11"/>
    <mergeCell ref="O47:Y47"/>
    <mergeCell ref="Z47:AC47"/>
    <mergeCell ref="AD47:AG47"/>
    <mergeCell ref="I11:W11"/>
    <mergeCell ref="Y11:AG11"/>
    <mergeCell ref="B13:F13"/>
    <mergeCell ref="G13:O13"/>
    <mergeCell ref="Q13:W13"/>
    <mergeCell ref="B12:H12"/>
    <mergeCell ref="AE17:AG17"/>
    <mergeCell ref="P18:Q18"/>
    <mergeCell ref="AD25:AG25"/>
    <mergeCell ref="X18:AD18"/>
    <mergeCell ref="AE18:AG18"/>
    <mergeCell ref="B21:AG21"/>
    <mergeCell ref="B17:E17"/>
    <mergeCell ref="F17:V17"/>
    <mergeCell ref="B15:G15"/>
    <mergeCell ref="X15:AG15"/>
    <mergeCell ref="B16:E16"/>
    <mergeCell ref="F16:V16"/>
    <mergeCell ref="X16:AD16"/>
    <mergeCell ref="AE16:AG16"/>
    <mergeCell ref="Z41:AC41"/>
    <mergeCell ref="AD41:AG41"/>
    <mergeCell ref="Z42:AC42"/>
    <mergeCell ref="AD42:AG42"/>
    <mergeCell ref="AD40:AG40"/>
    <mergeCell ref="Z44:AC44"/>
    <mergeCell ref="Z32:AC32"/>
    <mergeCell ref="AD32:AG32"/>
    <mergeCell ref="Z33:AC33"/>
    <mergeCell ref="AD33:AG33"/>
    <mergeCell ref="AD34:AG34"/>
    <mergeCell ref="Z35:AC35"/>
    <mergeCell ref="AD35:AG35"/>
    <mergeCell ref="Z34:AC34"/>
    <mergeCell ref="Z43:AC43"/>
    <mergeCell ref="Z36:AC36"/>
    <mergeCell ref="Z37:AC37"/>
    <mergeCell ref="AD37:AG37"/>
    <mergeCell ref="Z39:AC39"/>
    <mergeCell ref="AD39:AG39"/>
    <mergeCell ref="Z40:AC40"/>
    <mergeCell ref="Z49:AC49"/>
    <mergeCell ref="AD54:AG54"/>
    <mergeCell ref="Z55:AC55"/>
    <mergeCell ref="AD55:AG55"/>
    <mergeCell ref="Z52:AC52"/>
    <mergeCell ref="AD52:AG52"/>
    <mergeCell ref="Z53:AC53"/>
    <mergeCell ref="AD53:AG53"/>
    <mergeCell ref="Z50:AC50"/>
    <mergeCell ref="AD50:AG50"/>
    <mergeCell ref="AD49:AG49"/>
    <mergeCell ref="AD56:AG56"/>
    <mergeCell ref="Z57:AC57"/>
    <mergeCell ref="AD57:AG57"/>
    <mergeCell ref="AD62:AG62"/>
    <mergeCell ref="Z63:AC63"/>
    <mergeCell ref="AD63:AG63"/>
    <mergeCell ref="Z60:AC60"/>
    <mergeCell ref="AD60:AG60"/>
    <mergeCell ref="Z61:AC61"/>
    <mergeCell ref="AD61:AG61"/>
    <mergeCell ref="AD58:AG58"/>
    <mergeCell ref="Z59:AC59"/>
    <mergeCell ref="AD59:AG59"/>
    <mergeCell ref="AD69:AG69"/>
    <mergeCell ref="AD67:AG67"/>
    <mergeCell ref="Z64:AC64"/>
    <mergeCell ref="AD64:AG64"/>
    <mergeCell ref="Z65:AC65"/>
    <mergeCell ref="AD65:AG65"/>
    <mergeCell ref="AD66:AG66"/>
    <mergeCell ref="Z67:AC67"/>
    <mergeCell ref="AD70:AG70"/>
    <mergeCell ref="Z66:AC66"/>
    <mergeCell ref="Z68:AC68"/>
    <mergeCell ref="AD68:AG68"/>
    <mergeCell ref="O46:Y46"/>
    <mergeCell ref="G82:I82"/>
    <mergeCell ref="V70:Y70"/>
    <mergeCell ref="V45:Y45"/>
    <mergeCell ref="U75:AA75"/>
    <mergeCell ref="Z62:AC62"/>
    <mergeCell ref="Z58:AC58"/>
    <mergeCell ref="Z54:AC54"/>
    <mergeCell ref="Z70:AC70"/>
    <mergeCell ref="Z69:AC69"/>
    <mergeCell ref="Z56:AC56"/>
    <mergeCell ref="AB73:AG73"/>
    <mergeCell ref="AD74:AE74"/>
    <mergeCell ref="AF74:AG74"/>
    <mergeCell ref="AD75:AE75"/>
    <mergeCell ref="AF75:AG75"/>
    <mergeCell ref="Z51:AC51"/>
    <mergeCell ref="AD51:AG51"/>
    <mergeCell ref="AD45:AG45"/>
    <mergeCell ref="Z46:AC46"/>
    <mergeCell ref="AD46:AG46"/>
    <mergeCell ref="Z45:AC45"/>
    <mergeCell ref="B73:J73"/>
    <mergeCell ref="K73:T73"/>
  </mergeCells>
  <phoneticPr fontId="7" type="noConversion"/>
  <dataValidations xWindow="271" yWindow="217" count="13">
    <dataValidation type="list" allowBlank="1" showInputMessage="1" showErrorMessage="1" sqref="G82:I82">
      <formula1>FlightSub</formula1>
    </dataValidation>
    <dataValidation type="list" allowBlank="1" showInputMessage="1" showErrorMessage="1" promptTitle="Committtee Position" prompt="Select your committee position from the drop down menu or type it in" sqref="D12:H12">
      <formula1>compos</formula1>
    </dataValidation>
    <dataValidation type="list" allowBlank="1" showInputMessage="1" showErrorMessage="1" promptTitle="Tour Dates" prompt="Select a year from the drop down menu" sqref="W18">
      <formula1>years</formula1>
    </dataValidation>
    <dataValidation allowBlank="1" showErrorMessage="1" errorTitle="Tour Period" error="You must select one. When a tour falls into two date brackets select the earlier one." promptTitle="Tour Period" prompt="Select from the drop down menu the date bracket during which your tour will take place" sqref="Y11:AH11"/>
    <dataValidation allowBlank="1" showInputMessage="1" showErrorMessage="1" promptTitle="Name of Tour Leader" prompt="Type the name of the person leading the tour here" sqref="I11"/>
    <dataValidation type="list" allowBlank="1" showInputMessage="1" showErrorMessage="1" promptTitle="Committtee Position" prompt="Select your committee position held by the tour leader from the drop down menu or type it in" sqref="I12">
      <formula1>compos</formula1>
    </dataValidation>
    <dataValidation allowBlank="1" showInputMessage="1" showErrorMessage="1" promptTitle="E-mail address" prompt="Type in the e-mail address of the tour leader here missing @imperial.ac.uk off the end._x000a_" sqref="G13"/>
    <dataValidation allowBlank="1" showInputMessage="1" showErrorMessage="1" promptTitle="Tour destination" prompt="Type in the name or names of places where your tour proposes to stay" sqref="F16:V16"/>
    <dataValidation allowBlank="1" showInputMessage="1" showErrorMessage="1" promptTitle="Country" prompt="Type in the country or countries in which your tour plans to take place" sqref="F17:V17"/>
    <dataValidation type="list" allowBlank="1" showInputMessage="1" showErrorMessage="1" promptTitle="ICU student members" prompt="Select the number of people planning to go on your tour who are elligible for ICU subsidy from the drop down menu" sqref="AE16:AH16">
      <formula1>number</formula1>
    </dataValidation>
    <dataValidation type="list" allowBlank="1" showInputMessage="1" showErrorMessage="1" promptTitle="Other tour participants" prompt="Select the number of people planning to go on your tour who are not elligible for ICU subsidy from the drop down menu" sqref="AE17:AH17">
      <formula1>number</formula1>
    </dataValidation>
    <dataValidation type="list" allowBlank="1" showInputMessage="1" showErrorMessage="1" promptTitle="Year" prompt="Select the year from the drop down menu" sqref="AH74:AH75">
      <formula1>years</formula1>
    </dataValidation>
    <dataValidation allowBlank="1" showErrorMessage="1" promptTitle="Fixed Expenditure" prompt="List here anticipated expenditure which will remain the same irrespective of the number of people who actually go on the tour, eg. renting an apartment in which everyone will stay (this expenditure will be the same if 9/10/11 people go on the tour)" sqref="B25:B44 B50:B69"/>
  </dataValidations>
  <pageMargins left="0.75" right="0.75" top="1" bottom="1" header="0.5" footer="0.5"/>
  <pageSetup scale="44"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sheetPr codeName="Sheet6"/>
  <dimension ref="A1:P93"/>
  <sheetViews>
    <sheetView topLeftCell="A77" workbookViewId="0">
      <selection activeCell="L7" sqref="L7"/>
    </sheetView>
  </sheetViews>
  <sheetFormatPr defaultRowHeight="12.75"/>
  <cols>
    <col min="1" max="1" width="2.140625" style="174" customWidth="1"/>
    <col min="2" max="3" width="9.140625" style="174"/>
    <col min="4" max="4" width="11.7109375" style="174" bestFit="1" customWidth="1"/>
    <col min="5" max="7" width="9.7109375" style="174" bestFit="1" customWidth="1"/>
    <col min="8" max="9" width="9.140625" style="174"/>
    <col min="10" max="10" width="11.42578125" style="174" customWidth="1"/>
    <col min="11" max="11" width="9.140625" style="174"/>
    <col min="12" max="12" width="12.7109375" style="174" customWidth="1"/>
    <col min="13" max="14" width="9.140625" style="174"/>
    <col min="15" max="16" width="10.42578125" style="174" bestFit="1" customWidth="1"/>
    <col min="17" max="16384" width="9.140625" style="174"/>
  </cols>
  <sheetData>
    <row r="1" spans="1:16">
      <c r="A1" s="170" t="s">
        <v>1144</v>
      </c>
      <c r="B1" s="170"/>
      <c r="C1" s="170"/>
      <c r="D1" s="170"/>
      <c r="E1" s="170"/>
      <c r="F1" s="171"/>
      <c r="G1" s="172"/>
      <c r="H1" s="172"/>
      <c r="I1" s="170"/>
      <c r="J1" s="172"/>
      <c r="K1" s="172"/>
      <c r="L1" s="173"/>
    </row>
    <row r="2" spans="1:16">
      <c r="A2" s="170"/>
      <c r="B2" s="170"/>
      <c r="C2" s="170"/>
      <c r="D2" s="170"/>
      <c r="E2" s="170"/>
      <c r="F2" s="171"/>
      <c r="G2" s="172"/>
      <c r="H2" s="172"/>
      <c r="I2" s="170"/>
      <c r="J2" s="172"/>
      <c r="K2" s="172"/>
      <c r="L2" s="173"/>
    </row>
    <row r="3" spans="1:16">
      <c r="A3" s="170"/>
      <c r="B3" s="170"/>
      <c r="C3" s="170"/>
      <c r="D3" s="171"/>
      <c r="E3" s="172"/>
      <c r="F3" s="172"/>
      <c r="G3" s="170"/>
      <c r="H3" s="170"/>
      <c r="I3" s="170"/>
      <c r="J3" s="172"/>
      <c r="K3" s="661" t="s">
        <v>292</v>
      </c>
      <c r="L3" s="662"/>
    </row>
    <row r="4" spans="1:16">
      <c r="A4" s="170" t="s">
        <v>293</v>
      </c>
      <c r="B4" s="170"/>
      <c r="C4" s="170"/>
      <c r="D4" s="652" t="str">
        <f>'Tour Application Form'!R7</f>
        <v>RSM De La Beche</v>
      </c>
      <c r="E4" s="653"/>
      <c r="F4" s="653"/>
      <c r="G4" s="653"/>
      <c r="H4" s="654"/>
      <c r="I4" s="175"/>
      <c r="J4" s="172"/>
      <c r="K4" s="176"/>
      <c r="L4" s="177"/>
    </row>
    <row r="5" spans="1:16">
      <c r="A5" s="170"/>
      <c r="B5" s="170"/>
      <c r="C5" s="170"/>
      <c r="D5" s="178"/>
      <c r="E5" s="179"/>
      <c r="F5" s="179"/>
      <c r="G5" s="180"/>
      <c r="H5" s="180"/>
      <c r="I5" s="180"/>
      <c r="J5" s="172"/>
      <c r="K5" s="195" t="s">
        <v>13</v>
      </c>
      <c r="L5" s="181" t="str">
        <f>IF('Tour Application Form'!H7="","",'Tour Application Form'!H7)</f>
        <v>647</v>
      </c>
    </row>
    <row r="6" spans="1:16">
      <c r="A6" s="170" t="s">
        <v>1001</v>
      </c>
      <c r="B6" s="170"/>
      <c r="C6" s="170"/>
      <c r="D6" s="652" t="str">
        <f>'Tour Application Form'!AC12</f>
        <v>WINTER</v>
      </c>
      <c r="E6" s="653"/>
      <c r="F6" s="653"/>
      <c r="G6" s="653"/>
      <c r="H6" s="654"/>
      <c r="I6" s="175"/>
      <c r="J6" s="172"/>
      <c r="K6" s="176"/>
      <c r="L6" s="177"/>
    </row>
    <row r="7" spans="1:16">
      <c r="A7" s="170"/>
      <c r="B7" s="170"/>
      <c r="C7" s="170"/>
      <c r="D7" s="178"/>
      <c r="E7" s="179"/>
      <c r="F7" s="179"/>
      <c r="G7" s="180"/>
      <c r="H7" s="180"/>
      <c r="I7" s="180"/>
      <c r="J7" s="172"/>
      <c r="K7" s="195" t="s">
        <v>1019</v>
      </c>
      <c r="L7" s="182"/>
    </row>
    <row r="8" spans="1:16">
      <c r="A8" s="170" t="s">
        <v>1002</v>
      </c>
      <c r="B8" s="170"/>
      <c r="C8" s="170"/>
      <c r="D8" s="650" t="str">
        <f>IF('Tour Proposal'!H18="","",'Tour Proposal'!H18)&amp;" "&amp;IF('Tour Proposal'!J18="","",'Tour Proposal'!J18)&amp;" "&amp;IF('Tour Proposal'!L18="","",'Tour Proposal'!L18)</f>
        <v>25th Jan 2011</v>
      </c>
      <c r="E8" s="651"/>
      <c r="F8" s="183" t="str">
        <f>IF(D8="","","to")</f>
        <v>to</v>
      </c>
      <c r="G8" s="663" t="str">
        <f>IF('Tour Proposal'!P18="","",'Tour Proposal'!P18)&amp;" "&amp;IF('Tour Proposal'!R18="","",'Tour Proposal'!R18)&amp;" "&amp;IF('Tour Proposal'!T18="","",'Tour Proposal'!T18)</f>
        <v>27th Jan 2011</v>
      </c>
      <c r="H8" s="664"/>
      <c r="I8" s="184"/>
      <c r="J8" s="184"/>
      <c r="K8" s="236"/>
      <c r="L8" s="202"/>
      <c r="M8" s="236"/>
    </row>
    <row r="9" spans="1:16">
      <c r="A9" s="170"/>
      <c r="B9" s="170"/>
      <c r="C9" s="170"/>
      <c r="D9" s="178"/>
      <c r="E9" s="179"/>
      <c r="F9" s="179"/>
      <c r="G9" s="180"/>
      <c r="H9" s="180"/>
      <c r="I9" s="180"/>
      <c r="J9" s="201"/>
      <c r="K9" s="201"/>
      <c r="L9" s="237">
        <f ca="1">NOW()</f>
        <v>40476.506453703703</v>
      </c>
      <c r="M9" s="236"/>
      <c r="O9" s="234"/>
      <c r="P9" s="234"/>
    </row>
    <row r="10" spans="1:16">
      <c r="A10" s="170" t="s">
        <v>234</v>
      </c>
      <c r="B10" s="170"/>
      <c r="C10" s="170"/>
      <c r="D10" s="652" t="str">
        <f>IF('Tour Application Form'!E16="","",'Tour Application Form'!E16&amp;", "&amp;'Tour Application Form'!E17)</f>
        <v>Bude, Cornwall and surroundng areas, UK</v>
      </c>
      <c r="E10" s="653"/>
      <c r="F10" s="653"/>
      <c r="G10" s="653"/>
      <c r="H10" s="654"/>
      <c r="I10" s="175"/>
      <c r="J10" s="172"/>
      <c r="K10" s="172"/>
      <c r="L10" s="173"/>
      <c r="O10" s="235"/>
      <c r="P10" s="235"/>
    </row>
    <row r="11" spans="1:16">
      <c r="A11" s="170"/>
      <c r="B11" s="170"/>
      <c r="C11" s="170"/>
      <c r="D11" s="178"/>
      <c r="E11" s="179"/>
      <c r="F11" s="179"/>
      <c r="G11" s="180"/>
      <c r="H11" s="180"/>
      <c r="I11" s="180"/>
      <c r="J11" s="172"/>
      <c r="K11" s="172"/>
      <c r="L11" s="173"/>
    </row>
    <row r="12" spans="1:16">
      <c r="A12" s="170" t="s">
        <v>1008</v>
      </c>
      <c r="B12" s="170"/>
      <c r="D12" s="185">
        <f>'Tour Application Form'!AK18</f>
        <v>30</v>
      </c>
      <c r="E12" s="179"/>
      <c r="F12" s="179"/>
      <c r="G12" s="186"/>
      <c r="H12" s="180"/>
      <c r="I12" s="180"/>
      <c r="J12" s="172"/>
      <c r="K12" s="172"/>
      <c r="L12" s="173"/>
    </row>
    <row r="13" spans="1:16">
      <c r="A13" s="170"/>
      <c r="B13" s="170"/>
      <c r="C13" s="170"/>
      <c r="D13" s="171"/>
      <c r="E13" s="172"/>
      <c r="F13" s="187"/>
      <c r="G13" s="170"/>
      <c r="H13" s="170"/>
      <c r="I13" s="170"/>
      <c r="J13" s="172"/>
      <c r="K13" s="172"/>
      <c r="L13" s="173"/>
    </row>
    <row r="14" spans="1:16">
      <c r="A14" s="170" t="s">
        <v>1007</v>
      </c>
      <c r="B14" s="170"/>
      <c r="C14" s="170"/>
      <c r="D14" s="185">
        <f>IF('Tour Application Form'!AK16="","",'Tour Application Form'!AK16)</f>
        <v>30</v>
      </c>
      <c r="E14" s="172"/>
      <c r="F14" s="179"/>
      <c r="G14" s="188"/>
      <c r="H14" s="170"/>
      <c r="I14" s="170"/>
      <c r="J14" s="172"/>
      <c r="K14" s="172"/>
      <c r="L14" s="173"/>
    </row>
    <row r="15" spans="1:16">
      <c r="A15" s="170"/>
      <c r="B15" s="170"/>
      <c r="C15" s="170"/>
      <c r="D15" s="171"/>
      <c r="E15" s="172"/>
      <c r="F15" s="172"/>
      <c r="G15" s="170"/>
      <c r="H15" s="170"/>
      <c r="I15" s="170"/>
      <c r="J15" s="172"/>
      <c r="K15" s="172"/>
      <c r="L15" s="173"/>
    </row>
    <row r="16" spans="1:16">
      <c r="A16" s="170" t="s">
        <v>1003</v>
      </c>
      <c r="B16" s="170"/>
      <c r="C16" s="170"/>
      <c r="D16" s="170"/>
      <c r="E16" s="170"/>
      <c r="F16" s="171"/>
      <c r="G16" s="172"/>
      <c r="H16" s="172"/>
      <c r="I16" s="170"/>
      <c r="J16" s="172"/>
      <c r="K16" s="172"/>
      <c r="L16" s="173"/>
    </row>
    <row r="17" spans="1:13">
      <c r="A17" s="170"/>
      <c r="B17" s="170"/>
      <c r="C17" s="170"/>
      <c r="D17" s="170"/>
      <c r="E17" s="170"/>
      <c r="F17" s="171"/>
      <c r="G17" s="172"/>
      <c r="H17" s="172"/>
      <c r="I17" s="170"/>
      <c r="J17" s="172"/>
      <c r="K17" s="172"/>
      <c r="L17" s="173"/>
    </row>
    <row r="18" spans="1:13" ht="15.75">
      <c r="A18" s="189" t="s">
        <v>297</v>
      </c>
      <c r="B18" s="190"/>
      <c r="C18" s="190"/>
      <c r="D18" s="190" t="s">
        <v>1005</v>
      </c>
      <c r="E18" s="190"/>
      <c r="F18" s="191" t="s">
        <v>298</v>
      </c>
      <c r="G18" s="192" t="s">
        <v>299</v>
      </c>
      <c r="H18" s="190" t="s">
        <v>1000</v>
      </c>
      <c r="I18" s="190" t="s">
        <v>993</v>
      </c>
      <c r="J18" s="192" t="s">
        <v>994</v>
      </c>
      <c r="K18" s="192" t="s">
        <v>318</v>
      </c>
      <c r="L18" s="192" t="s">
        <v>995</v>
      </c>
    </row>
    <row r="19" spans="1:13">
      <c r="A19" s="170"/>
      <c r="B19" s="657" t="s">
        <v>300</v>
      </c>
      <c r="C19" s="658"/>
      <c r="D19" s="193"/>
      <c r="E19" s="170"/>
      <c r="F19" s="194"/>
      <c r="G19" s="195"/>
      <c r="H19" s="185"/>
      <c r="I19" s="185"/>
      <c r="J19" s="195"/>
      <c r="K19" s="195"/>
      <c r="L19" s="196"/>
    </row>
    <row r="20" spans="1:13">
      <c r="A20" s="170"/>
      <c r="B20" s="655" t="str">
        <f>IF('Tour Application Form'!A35="","",'Tour Application Form'!A35)</f>
        <v>2 mini buses hired for 3 days</v>
      </c>
      <c r="C20" s="656"/>
      <c r="D20" s="185" t="str">
        <f>IF('Tour Application Form'!AG35="","",'Tour Application Form'!AG35)</f>
        <v>Travel</v>
      </c>
      <c r="E20" s="197"/>
      <c r="F20" s="194">
        <f>'Tour Application Form'!X35</f>
        <v>1</v>
      </c>
      <c r="G20" s="195">
        <f>'Tour Application Form'!T35</f>
        <v>440</v>
      </c>
      <c r="H20" s="185" t="str">
        <f>IF('Tour Application Form'!Z35="","Inc",'Tour Application Form'!Z35)</f>
        <v>Inc</v>
      </c>
      <c r="I20" s="185" t="str">
        <f>IF('Tour Application Form'!AA35="","Std",'Tour Application Form'!AA35)</f>
        <v>Exempt</v>
      </c>
      <c r="J20" s="195">
        <f>IF(H20="Inc",F20*G20,F20*G20*(1+IF(OR(I20="Standard",I20="Exempt"),IF(AND($L$9&gt;39782,$L$9&lt;40179),0.15,0.175),0)))</f>
        <v>440</v>
      </c>
      <c r="K20" s="195">
        <f ca="1">IF(H20="Inc",IF(OR(I20="Standard",I20="Exempt"),IF(AND($L$9&gt;39782,$L$9&lt;40179),0.15,0.175)*F20*G20/IF(AND($L$9&gt;39782,$L$9&lt;40179),1.15,1.175),0),IF(OR(I20="Standard",I20="Exempt"),IF(AND($L$9&gt;39782,$L$9&lt;40179),0.15,0.175)*F20*G20,0))</f>
        <v>65.531914893617014</v>
      </c>
      <c r="L20" s="196">
        <f>IF(I20="Exempt",J20,J20-K20)</f>
        <v>440</v>
      </c>
    </row>
    <row r="21" spans="1:13">
      <c r="A21" s="170"/>
      <c r="B21" s="655" t="str">
        <f>IF('Tour Application Form'!A36="","",'Tour Application Form'!A36)</f>
        <v>accommodation</v>
      </c>
      <c r="C21" s="656"/>
      <c r="D21" s="185" t="str">
        <f>IF('Tour Application Form'!AG36="","",'Tour Application Form'!AG36)</f>
        <v>Hospitality</v>
      </c>
      <c r="E21" s="197"/>
      <c r="F21" s="194">
        <f>'Tour Application Form'!X36</f>
        <v>1</v>
      </c>
      <c r="G21" s="195">
        <f>'Tour Application Form'!T36</f>
        <v>900</v>
      </c>
      <c r="H21" s="185" t="str">
        <f>IF('Tour Application Form'!Z36="","Inc",'Tour Application Form'!Z36)</f>
        <v>Inc</v>
      </c>
      <c r="I21" s="185" t="str">
        <f>IF('Tour Application Form'!AA36="","Std",'Tour Application Form'!AA36)</f>
        <v>Standard</v>
      </c>
      <c r="J21" s="195">
        <f t="shared" ref="J21:J29" si="0">IF(H21="Inc",F21*G21,F21*G21*(1+IF(OR(I21="Standard",I21="Exempt"),IF(AND($L$9&gt;39782,$L$9&lt;40179),0.15,0.175),0)))</f>
        <v>900</v>
      </c>
      <c r="K21" s="195">
        <f t="shared" ref="K21:K29" ca="1" si="1">IF(H21="Inc",IF(OR(I21="Standard",I21="Exempt"),IF(AND($L$9&gt;39782,$L$9&lt;40179),0.15,0.175)*F21*G21/IF(AND($L$9&gt;39782,$L$9&lt;40179),1.15,1.175),0),IF(OR(I21="Standard",I21="Exempt"),IF(AND($L$9&gt;39782,$L$9&lt;40179),0.15,0.175)*F21*G21,0))</f>
        <v>134.04255319148936</v>
      </c>
      <c r="L21" s="196">
        <f t="shared" ref="L21:L29" ca="1" si="2">IF(I21="Exempt",J21,J21-K21)</f>
        <v>765.95744680851067</v>
      </c>
    </row>
    <row r="22" spans="1:13">
      <c r="A22" s="170"/>
      <c r="B22" s="655" t="str">
        <f>IF('Tour Application Form'!A37="","",'Tour Application Form'!A37)</f>
        <v>fuel</v>
      </c>
      <c r="C22" s="656"/>
      <c r="D22" s="185" t="str">
        <f>IF('Tour Application Form'!AG37="","",'Tour Application Form'!AG37)</f>
        <v>Consumables</v>
      </c>
      <c r="E22" s="197"/>
      <c r="F22" s="194">
        <f>'Tour Application Form'!X37</f>
        <v>1</v>
      </c>
      <c r="G22" s="195">
        <f>'Tour Application Form'!T37</f>
        <v>480</v>
      </c>
      <c r="H22" s="185" t="str">
        <f>IF('Tour Application Form'!Z37="","Inc",'Tour Application Form'!Z37)</f>
        <v>Inc</v>
      </c>
      <c r="I22" s="185" t="str">
        <f>IF('Tour Application Form'!AA37="","Std",'Tour Application Form'!AA37)</f>
        <v>Standard</v>
      </c>
      <c r="J22" s="195">
        <f t="shared" si="0"/>
        <v>480</v>
      </c>
      <c r="K22" s="195">
        <f t="shared" ca="1" si="1"/>
        <v>71.489361702127653</v>
      </c>
      <c r="L22" s="196">
        <f t="shared" ca="1" si="2"/>
        <v>408.51063829787233</v>
      </c>
    </row>
    <row r="23" spans="1:13">
      <c r="A23" s="170"/>
      <c r="B23" s="655" t="str">
        <f>IF('Tour Application Form'!A38="","",'Tour Application Form'!A38)</f>
        <v/>
      </c>
      <c r="C23" s="656"/>
      <c r="D23" s="185" t="str">
        <f>IF('Tour Application Form'!AG38="","",'Tour Application Form'!AG38)</f>
        <v/>
      </c>
      <c r="E23" s="197"/>
      <c r="F23" s="194">
        <f>'Tour Application Form'!X38</f>
        <v>0</v>
      </c>
      <c r="G23" s="195">
        <f>'Tour Application Form'!T38</f>
        <v>0</v>
      </c>
      <c r="H23" s="185" t="str">
        <f>IF('Tour Application Form'!Z38="","Inc",'Tour Application Form'!Z38)</f>
        <v>Inc</v>
      </c>
      <c r="I23" s="185" t="str">
        <f>IF('Tour Application Form'!AA38="","Std",'Tour Application Form'!AA38)</f>
        <v>Zero</v>
      </c>
      <c r="J23" s="195">
        <f t="shared" si="0"/>
        <v>0</v>
      </c>
      <c r="K23" s="195">
        <f t="shared" si="1"/>
        <v>0</v>
      </c>
      <c r="L23" s="196">
        <f t="shared" si="2"/>
        <v>0</v>
      </c>
    </row>
    <row r="24" spans="1:13">
      <c r="A24" s="170"/>
      <c r="B24" s="655" t="str">
        <f>IF('Tour Application Form'!A39="","",'Tour Application Form'!A39)</f>
        <v/>
      </c>
      <c r="C24" s="656"/>
      <c r="D24" s="185" t="str">
        <f>IF('Tour Application Form'!AG39="","",'Tour Application Form'!AG39)</f>
        <v/>
      </c>
      <c r="E24" s="197"/>
      <c r="F24" s="194">
        <f>'Tour Application Form'!X39</f>
        <v>0</v>
      </c>
      <c r="G24" s="195">
        <f>'Tour Application Form'!T39</f>
        <v>0</v>
      </c>
      <c r="H24" s="185" t="str">
        <f>IF('Tour Application Form'!Z39="","Inc",'Tour Application Form'!Z39)</f>
        <v>Inc</v>
      </c>
      <c r="I24" s="185" t="str">
        <f>IF('Tour Application Form'!AA39="","Std",'Tour Application Form'!AA39)</f>
        <v>Zero</v>
      </c>
      <c r="J24" s="195">
        <f t="shared" si="0"/>
        <v>0</v>
      </c>
      <c r="K24" s="195">
        <f t="shared" si="1"/>
        <v>0</v>
      </c>
      <c r="L24" s="196">
        <f t="shared" si="2"/>
        <v>0</v>
      </c>
    </row>
    <row r="25" spans="1:13">
      <c r="A25" s="170"/>
      <c r="B25" s="655" t="str">
        <f>IF('Tour Application Form'!A40="","",'Tour Application Form'!A40)</f>
        <v/>
      </c>
      <c r="C25" s="656"/>
      <c r="D25" s="185" t="str">
        <f>IF('Tour Application Form'!AG40="","",'Tour Application Form'!AG40)</f>
        <v/>
      </c>
      <c r="E25" s="197"/>
      <c r="F25" s="194">
        <f>'Tour Application Form'!X40</f>
        <v>0</v>
      </c>
      <c r="G25" s="195">
        <f>'Tour Application Form'!T40</f>
        <v>0</v>
      </c>
      <c r="H25" s="185" t="str">
        <f>IF('Tour Application Form'!Z40="","Inc",'Tour Application Form'!Z40)</f>
        <v>Inc</v>
      </c>
      <c r="I25" s="185" t="str">
        <f>IF('Tour Application Form'!AA40="","Std",'Tour Application Form'!AA40)</f>
        <v>Zero</v>
      </c>
      <c r="J25" s="195">
        <f t="shared" si="0"/>
        <v>0</v>
      </c>
      <c r="K25" s="195">
        <f t="shared" si="1"/>
        <v>0</v>
      </c>
      <c r="L25" s="196">
        <f t="shared" si="2"/>
        <v>0</v>
      </c>
    </row>
    <row r="26" spans="1:13">
      <c r="A26" s="170"/>
      <c r="B26" s="655" t="str">
        <f>IF('Tour Application Form'!A41="","",'Tour Application Form'!A41)</f>
        <v/>
      </c>
      <c r="C26" s="656"/>
      <c r="D26" s="185" t="str">
        <f>IF('Tour Application Form'!AG41="","",'Tour Application Form'!AG41)</f>
        <v/>
      </c>
      <c r="E26" s="197"/>
      <c r="F26" s="194">
        <f>'Tour Application Form'!X41</f>
        <v>0</v>
      </c>
      <c r="G26" s="195">
        <f>'Tour Application Form'!T41</f>
        <v>0</v>
      </c>
      <c r="H26" s="185" t="str">
        <f>IF('Tour Application Form'!Z41="","Inc",'Tour Application Form'!Z41)</f>
        <v>Inc</v>
      </c>
      <c r="I26" s="185" t="str">
        <f>IF('Tour Application Form'!AA41="","Std",'Tour Application Form'!AA41)</f>
        <v>Zero</v>
      </c>
      <c r="J26" s="195">
        <f t="shared" si="0"/>
        <v>0</v>
      </c>
      <c r="K26" s="195">
        <f t="shared" si="1"/>
        <v>0</v>
      </c>
      <c r="L26" s="196">
        <f t="shared" si="2"/>
        <v>0</v>
      </c>
    </row>
    <row r="27" spans="1:13">
      <c r="A27" s="170"/>
      <c r="B27" s="655" t="str">
        <f>IF('Tour Application Form'!A42="","",'Tour Application Form'!A42)</f>
        <v/>
      </c>
      <c r="C27" s="656"/>
      <c r="D27" s="185" t="str">
        <f>IF('Tour Application Form'!AG42="","",'Tour Application Form'!AG42)</f>
        <v/>
      </c>
      <c r="E27" s="197"/>
      <c r="F27" s="194">
        <f>'Tour Application Form'!X42</f>
        <v>0</v>
      </c>
      <c r="G27" s="195">
        <f>'Tour Application Form'!T42</f>
        <v>0</v>
      </c>
      <c r="H27" s="185" t="str">
        <f>IF('Tour Application Form'!Z42="","Inc",'Tour Application Form'!Z42)</f>
        <v>Inc</v>
      </c>
      <c r="I27" s="185" t="str">
        <f>IF('Tour Application Form'!AA42="","Std",'Tour Application Form'!AA42)</f>
        <v>Zero</v>
      </c>
      <c r="J27" s="195">
        <f t="shared" si="0"/>
        <v>0</v>
      </c>
      <c r="K27" s="195">
        <f t="shared" si="1"/>
        <v>0</v>
      </c>
      <c r="L27" s="196">
        <f t="shared" si="2"/>
        <v>0</v>
      </c>
      <c r="M27" s="198"/>
    </row>
    <row r="28" spans="1:13">
      <c r="A28" s="170"/>
      <c r="B28" s="655" t="str">
        <f>IF('Tour Application Form'!A43="","",'Tour Application Form'!A43)</f>
        <v/>
      </c>
      <c r="C28" s="656"/>
      <c r="D28" s="185" t="str">
        <f>IF('Tour Application Form'!AG43="","",'Tour Application Form'!AG43)</f>
        <v/>
      </c>
      <c r="E28" s="197"/>
      <c r="F28" s="194">
        <f>'Tour Application Form'!X43</f>
        <v>0</v>
      </c>
      <c r="G28" s="195">
        <f>'Tour Application Form'!T43</f>
        <v>0</v>
      </c>
      <c r="H28" s="185" t="str">
        <f>IF('Tour Application Form'!Z43="","Inc",'Tour Application Form'!Z43)</f>
        <v>Inc</v>
      </c>
      <c r="I28" s="185" t="str">
        <f>IF('Tour Application Form'!AA43="","Std",'Tour Application Form'!AA43)</f>
        <v>Zero</v>
      </c>
      <c r="J28" s="195">
        <f t="shared" si="0"/>
        <v>0</v>
      </c>
      <c r="K28" s="195">
        <f t="shared" si="1"/>
        <v>0</v>
      </c>
      <c r="L28" s="196">
        <f t="shared" si="2"/>
        <v>0</v>
      </c>
      <c r="M28" s="198"/>
    </row>
    <row r="29" spans="1:13">
      <c r="A29" s="170"/>
      <c r="B29" s="655" t="str">
        <f>IF('Tour Application Form'!A44="","",'Tour Application Form'!A44)</f>
        <v/>
      </c>
      <c r="C29" s="656"/>
      <c r="D29" s="185" t="str">
        <f>IF('Tour Application Form'!AG44="","",'Tour Application Form'!AG44)</f>
        <v/>
      </c>
      <c r="E29" s="197"/>
      <c r="F29" s="194">
        <f>'Tour Application Form'!X44</f>
        <v>0</v>
      </c>
      <c r="G29" s="195">
        <f>'Tour Application Form'!T44</f>
        <v>0</v>
      </c>
      <c r="H29" s="185" t="str">
        <f>IF('Tour Application Form'!Z44="","Inc",'Tour Application Form'!Z44)</f>
        <v>Inc</v>
      </c>
      <c r="I29" s="185" t="str">
        <f>IF('Tour Application Form'!AA44="","Std",'Tour Application Form'!AA44)</f>
        <v>Zero</v>
      </c>
      <c r="J29" s="195">
        <f t="shared" si="0"/>
        <v>0</v>
      </c>
      <c r="K29" s="195">
        <f t="shared" si="1"/>
        <v>0</v>
      </c>
      <c r="L29" s="196">
        <f t="shared" si="2"/>
        <v>0</v>
      </c>
      <c r="M29" s="198"/>
    </row>
    <row r="30" spans="1:13">
      <c r="A30" s="170"/>
      <c r="B30" s="655"/>
      <c r="C30" s="656"/>
      <c r="D30" s="185"/>
      <c r="E30" s="170"/>
      <c r="F30" s="194"/>
      <c r="G30" s="195"/>
      <c r="H30" s="185"/>
      <c r="I30" s="185"/>
      <c r="J30" s="195"/>
      <c r="K30" s="195"/>
      <c r="L30" s="196"/>
      <c r="M30" s="198"/>
    </row>
    <row r="31" spans="1:13">
      <c r="A31" s="170"/>
      <c r="B31" s="185" t="s">
        <v>301</v>
      </c>
      <c r="C31" s="185"/>
      <c r="D31" s="185"/>
      <c r="E31" s="170"/>
      <c r="F31" s="194"/>
      <c r="G31" s="195"/>
      <c r="H31" s="185"/>
      <c r="I31" s="185"/>
      <c r="J31" s="195">
        <f>SUM(J19:J30)</f>
        <v>1820</v>
      </c>
      <c r="K31" s="195">
        <f ca="1">SUM(K19:K30)</f>
        <v>271.06382978723406</v>
      </c>
      <c r="L31" s="196">
        <f ca="1">SUM(L19:L30)</f>
        <v>1614.4680851063831</v>
      </c>
      <c r="M31" s="198"/>
    </row>
    <row r="32" spans="1:13">
      <c r="A32" s="170"/>
      <c r="B32" s="170"/>
      <c r="C32" s="170"/>
      <c r="D32" s="170"/>
      <c r="E32" s="170"/>
      <c r="F32" s="171"/>
      <c r="G32" s="172"/>
      <c r="H32" s="170"/>
      <c r="I32" s="170"/>
      <c r="J32" s="172"/>
      <c r="K32" s="172"/>
      <c r="L32" s="173"/>
      <c r="M32" s="198"/>
    </row>
    <row r="33" spans="1:13">
      <c r="A33" s="170"/>
      <c r="B33" s="657" t="s">
        <v>302</v>
      </c>
      <c r="C33" s="658"/>
      <c r="D33" s="193"/>
      <c r="E33" s="193" t="s">
        <v>1013</v>
      </c>
      <c r="F33" s="194"/>
      <c r="G33" s="195"/>
      <c r="H33" s="185"/>
      <c r="I33" s="185"/>
      <c r="J33" s="195"/>
      <c r="K33" s="195"/>
      <c r="L33" s="196"/>
      <c r="M33" s="198"/>
    </row>
    <row r="34" spans="1:13">
      <c r="A34" s="170"/>
      <c r="B34" s="655" t="str">
        <f>IF('Tour Application Form'!A52="","",'Tour Application Form'!A52)</f>
        <v/>
      </c>
      <c r="C34" s="656"/>
      <c r="D34" s="185" t="str">
        <f>IF('Tour Application Form'!AG52="","",'Tour Application Form'!AG52)</f>
        <v>Consumables</v>
      </c>
      <c r="E34" s="199">
        <f>IF('Tour Application Form'!V52="",0,'Tour Application Form'!V52)</f>
        <v>0</v>
      </c>
      <c r="F34" s="194">
        <f>IF('Tour Application Form'!T52="",0,'Tour Application Form'!T52)</f>
        <v>0</v>
      </c>
      <c r="G34" s="195">
        <f>'Tour Application Form'!P52</f>
        <v>0</v>
      </c>
      <c r="H34" s="200" t="str">
        <f>IF('Tour Application Form'!Z52="","Inc",'Tour Application Form'!Z52)</f>
        <v>Inc</v>
      </c>
      <c r="I34" s="200" t="str">
        <f>IF('Tour Application Form'!AA52="","Std",'Tour Application Form'!AA52)</f>
        <v>Standard</v>
      </c>
      <c r="J34" s="195">
        <f>IF(H34="Inc",F34*G34,F34*G34*(1+IF(OR(I34="Standard",I34="Exempt"),IF(AND($L$9&gt;39782,$L$9&lt;40179),0.15,0.175),0)))</f>
        <v>0</v>
      </c>
      <c r="K34" s="195">
        <f ca="1">IF(H34="Inc",IF(OR(I34="Standard",I34="Exempt"),IF(AND($L$9&gt;39782,$L$9&lt;40179),0.15,0.175)*F34*G34/IF(AND($L$9&gt;39782,$L$9&lt;40179),1.15,1.175),0),IF(OR(I34="Standard",I34="Exempt"),IF(AND($L$9&gt;39782,$L$9&lt;40179),0.15,0.175)*F34*G34,0))</f>
        <v>0</v>
      </c>
      <c r="L34" s="196">
        <f ca="1">IF(I34="Exempt",J34,J34-K34)</f>
        <v>0</v>
      </c>
      <c r="M34" s="198"/>
    </row>
    <row r="35" spans="1:13">
      <c r="A35" s="170"/>
      <c r="B35" s="655" t="str">
        <f>IF('Tour Application Form'!A53="","",'Tour Application Form'!A53)</f>
        <v/>
      </c>
      <c r="C35" s="656"/>
      <c r="D35" s="185" t="str">
        <f>IF('Tour Application Form'!AG53="","",'Tour Application Form'!AG53)</f>
        <v/>
      </c>
      <c r="E35" s="199">
        <f>IF('Tour Application Form'!V53="",0,'Tour Application Form'!V53)</f>
        <v>0</v>
      </c>
      <c r="F35" s="194">
        <f>IF('Tour Application Form'!T53="",0,'Tour Application Form'!T53)</f>
        <v>0</v>
      </c>
      <c r="G35" s="195">
        <f>'Tour Application Form'!P53</f>
        <v>0</v>
      </c>
      <c r="H35" s="200" t="str">
        <f>IF('Tour Application Form'!Z53="","Inc",'Tour Application Form'!Z53)</f>
        <v>Inc</v>
      </c>
      <c r="I35" s="200" t="str">
        <f>IF('Tour Application Form'!AA53="","Std",'Tour Application Form'!AA53)</f>
        <v>Zero</v>
      </c>
      <c r="J35" s="195">
        <f t="shared" ref="J35:J43" si="3">IF(H35="Inc",F35*G35,F35*G35*(1+IF(OR(I35="Standard",I35="Exempt"),IF(AND($L$9&gt;39782,$L$9&lt;40179),0.15,0.175),0)))</f>
        <v>0</v>
      </c>
      <c r="K35" s="195">
        <f t="shared" ref="K35:K43" si="4">IF(H35="Inc",IF(OR(I35="Standard",I35="Exempt"),IF(AND($L$9&gt;39782,$L$9&lt;40179),0.15,0.175)*F35*G35/IF(AND($L$9&gt;39782,$L$9&lt;40179),1.15,1.175),0),IF(OR(I35="Standard",I35="Exempt"),IF(AND($L$9&gt;39782,$L$9&lt;40179),0.15,0.175)*F35*G35,0))</f>
        <v>0</v>
      </c>
      <c r="L35" s="196">
        <f t="shared" ref="L35:L43" si="5">IF(I35="Exempt",J35,J35-K35)</f>
        <v>0</v>
      </c>
      <c r="M35" s="198"/>
    </row>
    <row r="36" spans="1:13">
      <c r="A36" s="170"/>
      <c r="B36" s="655" t="str">
        <f>IF('Tour Application Form'!A54="","",'Tour Application Form'!A54)</f>
        <v/>
      </c>
      <c r="C36" s="656"/>
      <c r="D36" s="185" t="str">
        <f>IF('Tour Application Form'!AG54="","",'Tour Application Form'!AG54)</f>
        <v/>
      </c>
      <c r="E36" s="199">
        <f>IF('Tour Application Form'!V54="",0,'Tour Application Form'!V54)</f>
        <v>0</v>
      </c>
      <c r="F36" s="194">
        <f>IF('Tour Application Form'!T54="",0,'Tour Application Form'!T54)</f>
        <v>0</v>
      </c>
      <c r="G36" s="195">
        <f>'Tour Application Form'!P54</f>
        <v>0</v>
      </c>
      <c r="H36" s="200" t="str">
        <f>IF('Tour Application Form'!Z54="","Inc",'Tour Application Form'!Z54)</f>
        <v>Inc</v>
      </c>
      <c r="I36" s="200" t="str">
        <f>IF('Tour Application Form'!AA54="","Std",'Tour Application Form'!AA54)</f>
        <v>Zero</v>
      </c>
      <c r="J36" s="195">
        <f t="shared" si="3"/>
        <v>0</v>
      </c>
      <c r="K36" s="195">
        <f t="shared" si="4"/>
        <v>0</v>
      </c>
      <c r="L36" s="196">
        <f t="shared" si="5"/>
        <v>0</v>
      </c>
      <c r="M36" s="198"/>
    </row>
    <row r="37" spans="1:13">
      <c r="A37" s="170"/>
      <c r="B37" s="655" t="str">
        <f>IF('Tour Application Form'!A55="","",'Tour Application Form'!A55)</f>
        <v/>
      </c>
      <c r="C37" s="656"/>
      <c r="D37" s="185" t="str">
        <f>IF('Tour Application Form'!AG55="","",'Tour Application Form'!AG55)</f>
        <v/>
      </c>
      <c r="E37" s="199">
        <f>IF('Tour Application Form'!V55="",0,'Tour Application Form'!V55)</f>
        <v>0</v>
      </c>
      <c r="F37" s="194">
        <f>IF('Tour Application Form'!T55="",0,'Tour Application Form'!T55)</f>
        <v>0</v>
      </c>
      <c r="G37" s="195">
        <f>'Tour Application Form'!P55</f>
        <v>0</v>
      </c>
      <c r="H37" s="200" t="str">
        <f>IF('Tour Application Form'!Z55="","Inc",'Tour Application Form'!Z55)</f>
        <v>Inc</v>
      </c>
      <c r="I37" s="200" t="str">
        <f>IF('Tour Application Form'!AA55="","Std",'Tour Application Form'!AA55)</f>
        <v>Zero</v>
      </c>
      <c r="J37" s="195">
        <f t="shared" si="3"/>
        <v>0</v>
      </c>
      <c r="K37" s="195">
        <f t="shared" si="4"/>
        <v>0</v>
      </c>
      <c r="L37" s="196">
        <f t="shared" si="5"/>
        <v>0</v>
      </c>
      <c r="M37" s="198"/>
    </row>
    <row r="38" spans="1:13">
      <c r="A38" s="170"/>
      <c r="B38" s="655" t="str">
        <f>IF('Tour Application Form'!A56="","",'Tour Application Form'!A56)</f>
        <v/>
      </c>
      <c r="C38" s="656"/>
      <c r="D38" s="185" t="str">
        <f>IF('Tour Application Form'!AG56="","",'Tour Application Form'!AG56)</f>
        <v/>
      </c>
      <c r="E38" s="199">
        <f>IF('Tour Application Form'!V56="",0,'Tour Application Form'!V56)</f>
        <v>0</v>
      </c>
      <c r="F38" s="194">
        <f>IF('Tour Application Form'!T56="",0,'Tour Application Form'!T56)</f>
        <v>0</v>
      </c>
      <c r="G38" s="195">
        <f>'Tour Application Form'!P56</f>
        <v>0</v>
      </c>
      <c r="H38" s="200" t="str">
        <f>IF('Tour Application Form'!Z56="","Inc",'Tour Application Form'!Z56)</f>
        <v>Inc</v>
      </c>
      <c r="I38" s="200" t="str">
        <f>IF('Tour Application Form'!AA56="","Std",'Tour Application Form'!AA56)</f>
        <v>Zero</v>
      </c>
      <c r="J38" s="195">
        <f t="shared" si="3"/>
        <v>0</v>
      </c>
      <c r="K38" s="195">
        <f t="shared" si="4"/>
        <v>0</v>
      </c>
      <c r="L38" s="196">
        <f t="shared" si="5"/>
        <v>0</v>
      </c>
      <c r="M38" s="198"/>
    </row>
    <row r="39" spans="1:13">
      <c r="A39" s="170"/>
      <c r="B39" s="655" t="str">
        <f>IF('Tour Application Form'!A57="","",'Tour Application Form'!A57)</f>
        <v/>
      </c>
      <c r="C39" s="656"/>
      <c r="D39" s="185" t="str">
        <f>IF('Tour Application Form'!AG57="","",'Tour Application Form'!AG57)</f>
        <v/>
      </c>
      <c r="E39" s="199">
        <f>IF('Tour Application Form'!V57="",0,'Tour Application Form'!V57)</f>
        <v>0</v>
      </c>
      <c r="F39" s="194">
        <f>IF('Tour Application Form'!T57="",0,'Tour Application Form'!T57)</f>
        <v>0</v>
      </c>
      <c r="G39" s="195">
        <f>'Tour Application Form'!P57</f>
        <v>0</v>
      </c>
      <c r="H39" s="200" t="str">
        <f>IF('Tour Application Form'!Z57="","Inc",'Tour Application Form'!Z57)</f>
        <v>Inc</v>
      </c>
      <c r="I39" s="200" t="str">
        <f>IF('Tour Application Form'!AA57="","Std",'Tour Application Form'!AA57)</f>
        <v>Zero</v>
      </c>
      <c r="J39" s="195">
        <f t="shared" si="3"/>
        <v>0</v>
      </c>
      <c r="K39" s="195">
        <f t="shared" si="4"/>
        <v>0</v>
      </c>
      <c r="L39" s="196">
        <f t="shared" si="5"/>
        <v>0</v>
      </c>
      <c r="M39" s="198"/>
    </row>
    <row r="40" spans="1:13">
      <c r="A40" s="170"/>
      <c r="B40" s="655" t="str">
        <f>IF('Tour Application Form'!A58="","",'Tour Application Form'!A58)</f>
        <v/>
      </c>
      <c r="C40" s="656"/>
      <c r="D40" s="185" t="str">
        <f>IF('Tour Application Form'!AG58="","",'Tour Application Form'!AG58)</f>
        <v/>
      </c>
      <c r="E40" s="199">
        <f>IF('Tour Application Form'!V58="",0,'Tour Application Form'!V58)</f>
        <v>0</v>
      </c>
      <c r="F40" s="194">
        <f>IF('Tour Application Form'!T58="",0,'Tour Application Form'!T58)</f>
        <v>0</v>
      </c>
      <c r="G40" s="195">
        <f>'Tour Application Form'!P58</f>
        <v>0</v>
      </c>
      <c r="H40" s="200" t="str">
        <f>IF('Tour Application Form'!Z58="","Inc",'Tour Application Form'!Z58)</f>
        <v>Inc</v>
      </c>
      <c r="I40" s="200" t="str">
        <f>IF('Tour Application Form'!AA58="","Std",'Tour Application Form'!AA58)</f>
        <v>Zero</v>
      </c>
      <c r="J40" s="195">
        <f t="shared" si="3"/>
        <v>0</v>
      </c>
      <c r="K40" s="195">
        <f t="shared" si="4"/>
        <v>0</v>
      </c>
      <c r="L40" s="196">
        <f t="shared" si="5"/>
        <v>0</v>
      </c>
      <c r="M40" s="198"/>
    </row>
    <row r="41" spans="1:13">
      <c r="A41" s="170"/>
      <c r="B41" s="655" t="str">
        <f>IF('Tour Application Form'!A59="","",'Tour Application Form'!A59)</f>
        <v/>
      </c>
      <c r="C41" s="656"/>
      <c r="D41" s="185" t="str">
        <f>IF('Tour Application Form'!AG59="","",'Tour Application Form'!AG59)</f>
        <v/>
      </c>
      <c r="E41" s="199">
        <f>IF('Tour Application Form'!V59="",0,'Tour Application Form'!V59)</f>
        <v>0</v>
      </c>
      <c r="F41" s="194">
        <f>IF('Tour Application Form'!T59="",0,'Tour Application Form'!T59)</f>
        <v>0</v>
      </c>
      <c r="G41" s="195">
        <f>'Tour Application Form'!P59</f>
        <v>0</v>
      </c>
      <c r="H41" s="200" t="str">
        <f>IF('Tour Application Form'!Z59="","Inc",'Tour Application Form'!Z59)</f>
        <v>Inc</v>
      </c>
      <c r="I41" s="200" t="str">
        <f>IF('Tour Application Form'!AA59="","Std",'Tour Application Form'!AA59)</f>
        <v>Zero</v>
      </c>
      <c r="J41" s="195">
        <f t="shared" si="3"/>
        <v>0</v>
      </c>
      <c r="K41" s="195">
        <f t="shared" si="4"/>
        <v>0</v>
      </c>
      <c r="L41" s="196">
        <f t="shared" si="5"/>
        <v>0</v>
      </c>
      <c r="M41" s="198"/>
    </row>
    <row r="42" spans="1:13">
      <c r="A42" s="170"/>
      <c r="B42" s="655" t="str">
        <f>IF('Tour Application Form'!A60="","",'Tour Application Form'!A60)</f>
        <v/>
      </c>
      <c r="C42" s="656"/>
      <c r="D42" s="185" t="str">
        <f>IF('Tour Application Form'!AG60="","",'Tour Application Form'!AG60)</f>
        <v/>
      </c>
      <c r="E42" s="199">
        <f>IF('Tour Application Form'!V60="",0,'Tour Application Form'!V60)</f>
        <v>0</v>
      </c>
      <c r="F42" s="194">
        <f>IF('Tour Application Form'!T60="",0,'Tour Application Form'!T60)</f>
        <v>0</v>
      </c>
      <c r="G42" s="195">
        <f>'Tour Application Form'!P60</f>
        <v>0</v>
      </c>
      <c r="H42" s="200" t="str">
        <f>IF('Tour Application Form'!Z60="","Inc",'Tour Application Form'!Z60)</f>
        <v>Inc</v>
      </c>
      <c r="I42" s="200" t="str">
        <f>IF('Tour Application Form'!AA60="","Std",'Tour Application Form'!AA60)</f>
        <v>Zero</v>
      </c>
      <c r="J42" s="195">
        <f t="shared" si="3"/>
        <v>0</v>
      </c>
      <c r="K42" s="195">
        <f t="shared" si="4"/>
        <v>0</v>
      </c>
      <c r="L42" s="196">
        <f t="shared" si="5"/>
        <v>0</v>
      </c>
      <c r="M42" s="198"/>
    </row>
    <row r="43" spans="1:13">
      <c r="A43" s="170"/>
      <c r="B43" s="655" t="str">
        <f>IF('Tour Application Form'!A61="","",'Tour Application Form'!A61)</f>
        <v/>
      </c>
      <c r="C43" s="656"/>
      <c r="D43" s="185" t="str">
        <f>IF('Tour Application Form'!AG61="","",'Tour Application Form'!AG61)</f>
        <v/>
      </c>
      <c r="E43" s="199">
        <f>IF('Tour Application Form'!V61="",0,'Tour Application Form'!V61)</f>
        <v>0</v>
      </c>
      <c r="F43" s="194">
        <f>IF('Tour Application Form'!T61="",0,'Tour Application Form'!T61)</f>
        <v>0</v>
      </c>
      <c r="G43" s="195">
        <f>'Tour Application Form'!P61</f>
        <v>0</v>
      </c>
      <c r="H43" s="200" t="str">
        <f>IF('Tour Application Form'!Z61="","Inc",'Tour Application Form'!Z61)</f>
        <v>Inc</v>
      </c>
      <c r="I43" s="200" t="str">
        <f>IF('Tour Application Form'!AA61="","Std",'Tour Application Form'!AA61)</f>
        <v>Zero</v>
      </c>
      <c r="J43" s="195">
        <f t="shared" si="3"/>
        <v>0</v>
      </c>
      <c r="K43" s="195">
        <f t="shared" si="4"/>
        <v>0</v>
      </c>
      <c r="L43" s="196">
        <f t="shared" si="5"/>
        <v>0</v>
      </c>
      <c r="M43" s="198"/>
    </row>
    <row r="44" spans="1:13">
      <c r="A44" s="170"/>
      <c r="B44" s="185"/>
      <c r="C44" s="185"/>
      <c r="D44" s="185"/>
      <c r="E44" s="185"/>
      <c r="F44" s="194"/>
      <c r="G44" s="195"/>
      <c r="H44" s="185"/>
      <c r="I44" s="185"/>
      <c r="J44" s="195"/>
      <c r="K44" s="195"/>
      <c r="L44" s="196"/>
      <c r="M44" s="198"/>
    </row>
    <row r="45" spans="1:13">
      <c r="A45" s="170"/>
      <c r="B45" s="185" t="s">
        <v>303</v>
      </c>
      <c r="C45" s="185"/>
      <c r="D45" s="185"/>
      <c r="E45" s="185"/>
      <c r="F45" s="194"/>
      <c r="G45" s="195"/>
      <c r="H45" s="185"/>
      <c r="I45" s="185"/>
      <c r="J45" s="195">
        <f>SUM(J33:J44)</f>
        <v>0</v>
      </c>
      <c r="K45" s="195">
        <f ca="1">SUM(K33:K44)</f>
        <v>0</v>
      </c>
      <c r="L45" s="196">
        <f ca="1">SUM(L33:L44)</f>
        <v>0</v>
      </c>
      <c r="M45" s="198"/>
    </row>
    <row r="46" spans="1:13">
      <c r="A46" s="170"/>
      <c r="B46" s="170"/>
      <c r="C46" s="170"/>
      <c r="D46" s="170"/>
      <c r="E46" s="170"/>
      <c r="F46" s="171"/>
      <c r="G46" s="172"/>
      <c r="H46" s="170"/>
      <c r="I46" s="170"/>
      <c r="J46" s="201"/>
      <c r="K46" s="201"/>
      <c r="L46" s="202"/>
      <c r="M46" s="198"/>
    </row>
    <row r="47" spans="1:13">
      <c r="A47" s="203"/>
      <c r="B47" s="203" t="s">
        <v>304</v>
      </c>
      <c r="C47" s="203"/>
      <c r="D47" s="203"/>
      <c r="E47" s="203"/>
      <c r="F47" s="204"/>
      <c r="G47" s="205"/>
      <c r="H47" s="203"/>
      <c r="I47" s="203"/>
      <c r="J47" s="206">
        <f>J45+J31</f>
        <v>1820</v>
      </c>
      <c r="K47" s="206">
        <f ca="1">K45+K31</f>
        <v>271.06382978723406</v>
      </c>
      <c r="L47" s="206">
        <f ca="1">L45+L31</f>
        <v>1614.4680851063831</v>
      </c>
      <c r="M47" s="198"/>
    </row>
    <row r="48" spans="1:13">
      <c r="A48" s="207"/>
      <c r="B48" s="207"/>
      <c r="C48" s="207"/>
      <c r="D48" s="207"/>
      <c r="E48" s="207"/>
      <c r="F48" s="208"/>
      <c r="G48" s="209"/>
      <c r="H48" s="207"/>
      <c r="I48" s="207"/>
      <c r="J48" s="209"/>
      <c r="K48" s="209"/>
      <c r="L48" s="210"/>
      <c r="M48" s="198"/>
    </row>
    <row r="49" spans="1:13" ht="15.75">
      <c r="A49" s="211" t="s">
        <v>305</v>
      </c>
      <c r="B49" s="212"/>
      <c r="C49" s="212"/>
      <c r="D49" s="212" t="s">
        <v>1005</v>
      </c>
      <c r="E49" s="212"/>
      <c r="F49" s="213" t="s">
        <v>298</v>
      </c>
      <c r="G49" s="214" t="s">
        <v>299</v>
      </c>
      <c r="H49" s="212" t="s">
        <v>1000</v>
      </c>
      <c r="I49" s="212" t="s">
        <v>993</v>
      </c>
      <c r="J49" s="214" t="s">
        <v>994</v>
      </c>
      <c r="K49" s="214" t="s">
        <v>318</v>
      </c>
      <c r="L49" s="214" t="s">
        <v>995</v>
      </c>
      <c r="M49" s="198"/>
    </row>
    <row r="50" spans="1:13">
      <c r="A50" s="170"/>
      <c r="B50" s="215" t="s">
        <v>300</v>
      </c>
      <c r="C50" s="215"/>
      <c r="D50" s="215"/>
      <c r="E50" s="216"/>
      <c r="F50" s="194"/>
      <c r="G50" s="195"/>
      <c r="H50" s="185"/>
      <c r="I50" s="185"/>
      <c r="J50" s="195"/>
      <c r="K50" s="195"/>
      <c r="L50" s="196"/>
      <c r="M50" s="198"/>
    </row>
    <row r="51" spans="1:13">
      <c r="A51" s="170"/>
      <c r="B51" s="655" t="str">
        <f>IF('Tour Application Form'!A66="","",'Tour Application Form'!A66)</f>
        <v/>
      </c>
      <c r="C51" s="656"/>
      <c r="D51" s="185" t="str">
        <f>IF('Tour Application Form'!AG66="","",'Tour Application Form'!AG66)</f>
        <v/>
      </c>
      <c r="E51" s="217"/>
      <c r="F51" s="194">
        <f>IF('Tour Application Form'!X66="",0,'Tour Application Form'!X66)</f>
        <v>0</v>
      </c>
      <c r="G51" s="195">
        <f>IF('Tour Application Form'!T66="",0,'Tour Application Form'!T66)</f>
        <v>0</v>
      </c>
      <c r="H51" s="185" t="str">
        <f>IF('Tour Application Form'!Z66="","Yes",'Tour Application Form'!Z66)</f>
        <v>Yes</v>
      </c>
      <c r="I51" s="185" t="str">
        <f>IF('Tour Application Form'!AA66="","Zero",'Tour Application Form'!AA66)</f>
        <v>Standard</v>
      </c>
      <c r="J51" s="195">
        <f ca="1">IF(H51="Inc",F51*G51,F51*G51*(1+IF(OR(I51="Standard",I51="Exempt"),IF(AND($L$9&gt;39782,$L$9&lt;40179),0.15,0.175),0)))</f>
        <v>0</v>
      </c>
      <c r="K51" s="195">
        <f ca="1">IF(H51="Inc",IF(OR(I51="Standard",I51="Exempt"),IF(AND($L$9&gt;39782,$L$9&lt;40179),0.15,0.175)*F51*G51/IF(AND($L$9&gt;39782,$L$9&lt;40179),1.15,1.175),0),IF(OR(I51="Standard",I51="Exempt"),IF(AND($L$9&gt;39782,$L$9&lt;40179),0.15,0.175)*F51*G51,0))</f>
        <v>0</v>
      </c>
      <c r="L51" s="196">
        <f ca="1">IF(I51="Exempt",J51,J51-K51)</f>
        <v>0</v>
      </c>
      <c r="M51" s="198"/>
    </row>
    <row r="52" spans="1:13">
      <c r="A52" s="170"/>
      <c r="B52" s="655" t="str">
        <f>IF('Tour Application Form'!A67="","",'Tour Application Form'!A67)</f>
        <v/>
      </c>
      <c r="C52" s="656"/>
      <c r="D52" s="185" t="str">
        <f>IF('Tour Application Form'!AG67="","",'Tour Application Form'!AG67)</f>
        <v/>
      </c>
      <c r="E52" s="217"/>
      <c r="F52" s="194">
        <f>IF('Tour Application Form'!X67="",0,'Tour Application Form'!X67)</f>
        <v>0</v>
      </c>
      <c r="G52" s="195">
        <f>IF('Tour Application Form'!T67="",0,'Tour Application Form'!T67)</f>
        <v>0</v>
      </c>
      <c r="H52" s="185" t="str">
        <f>IF('Tour Application Form'!Z67="","Yes",'Tour Application Form'!Z67)</f>
        <v>Yes</v>
      </c>
      <c r="I52" s="185" t="str">
        <f>IF('Tour Application Form'!AA67="","Zero",'Tour Application Form'!AA67)</f>
        <v>Standard</v>
      </c>
      <c r="J52" s="195">
        <f ca="1">IF(H52="Inc",F52*G52,F52*G52*(1+IF(OR(I52="Standard",I52="Exempt"),IF(AND($L$9&gt;39782,$L$9&lt;40179),0.15,0.175),0)))</f>
        <v>0</v>
      </c>
      <c r="K52" s="195">
        <f ca="1">IF(H52="Inc",IF(OR(I52="Standard",I52="Exempt"),IF(AND($L$9&gt;39782,$L$9&lt;40179),0.15,0.175)*F52*G52/IF(AND($L$9&gt;39782,$L$9&lt;40179),1.15,1.175),0),IF(OR(I52="Standard",I52="Exempt"),IF(AND($L$9&gt;39782,$L$9&lt;40179),0.15,0.175)*F52*G52,0))</f>
        <v>0</v>
      </c>
      <c r="L52" s="196">
        <f ca="1">IF(I52="Exempt",J52,J52-K52)</f>
        <v>0</v>
      </c>
      <c r="M52" s="198"/>
    </row>
    <row r="53" spans="1:13">
      <c r="A53" s="170"/>
      <c r="B53" s="655" t="str">
        <f>IF('Tour Application Form'!A68="","",'Tour Application Form'!A68)</f>
        <v/>
      </c>
      <c r="C53" s="656"/>
      <c r="D53" s="185" t="str">
        <f>IF('Tour Application Form'!AG68="","",'Tour Application Form'!AG68)</f>
        <v/>
      </c>
      <c r="E53" s="217"/>
      <c r="F53" s="194">
        <f>IF('Tour Application Form'!X68="",0,'Tour Application Form'!X68)</f>
        <v>0</v>
      </c>
      <c r="G53" s="195">
        <f>IF('Tour Application Form'!T68="",0,'Tour Application Form'!T68)</f>
        <v>0</v>
      </c>
      <c r="H53" s="185" t="str">
        <f>IF('Tour Application Form'!Z68="","Yes",'Tour Application Form'!Z68)</f>
        <v>Yes</v>
      </c>
      <c r="I53" s="185" t="str">
        <f>IF('Tour Application Form'!AA68="","Zero",'Tour Application Form'!AA68)</f>
        <v>Standard</v>
      </c>
      <c r="J53" s="195">
        <f ca="1">IF(H53="Inc",F53*G53,F53*G53*(1+IF(OR(I53="Standard",I53="Exempt"),IF(AND($L$9&gt;39782,$L$9&lt;40179),0.15,0.175),0)))</f>
        <v>0</v>
      </c>
      <c r="K53" s="195">
        <f ca="1">IF(H53="Inc",IF(OR(I53="Standard",I53="Exempt"),IF(AND($L$9&gt;39782,$L$9&lt;40179),0.15,0.175)*F53*G53/IF(AND($L$9&gt;39782,$L$9&lt;40179),1.15,1.175),0),IF(OR(I53="Standard",I53="Exempt"),IF(AND($L$9&gt;39782,$L$9&lt;40179),0.15,0.175)*F53*G53,0))</f>
        <v>0</v>
      </c>
      <c r="L53" s="196">
        <f ca="1">IF(I53="Exempt",J53,J53-K53)</f>
        <v>0</v>
      </c>
      <c r="M53" s="198"/>
    </row>
    <row r="54" spans="1:13">
      <c r="A54" s="170"/>
      <c r="B54" s="655" t="str">
        <f>IF('Tour Application Form'!A69="","",'Tour Application Form'!A69)</f>
        <v/>
      </c>
      <c r="C54" s="656"/>
      <c r="D54" s="185" t="str">
        <f>IF('Tour Application Form'!AG69="","",'Tour Application Form'!AG69)</f>
        <v/>
      </c>
      <c r="E54" s="217"/>
      <c r="F54" s="194">
        <f>IF('Tour Application Form'!X69="",0,'Tour Application Form'!X69)</f>
        <v>0</v>
      </c>
      <c r="G54" s="195">
        <f>IF('Tour Application Form'!T69="",0,'Tour Application Form'!T69)</f>
        <v>0</v>
      </c>
      <c r="H54" s="185" t="str">
        <f>IF('Tour Application Form'!Z69="","Yes",'Tour Application Form'!Z69)</f>
        <v>Yes</v>
      </c>
      <c r="I54" s="185" t="str">
        <f>IF('Tour Application Form'!AA69="","Zero",'Tour Application Form'!AA69)</f>
        <v>Standard</v>
      </c>
      <c r="J54" s="195">
        <f ca="1">IF(H54="Inc",F54*G54,F54*G54*(1+IF(OR(I54="Standard",I54="Exempt"),IF(AND($L$9&gt;39782,$L$9&lt;40179),0.15,0.175),0)))</f>
        <v>0</v>
      </c>
      <c r="K54" s="195">
        <f ca="1">IF(H54="Inc",IF(OR(I54="Standard",I54="Exempt"),IF(AND($L$9&gt;39782,$L$9&lt;40179),0.15,0.175)*F54*G54/IF(AND($L$9&gt;39782,$L$9&lt;40179),1.15,1.175),0),IF(OR(I54="Standard",I54="Exempt"),IF(AND($L$9&gt;39782,$L$9&lt;40179),0.15,0.175)*F54*G54,0))</f>
        <v>0</v>
      </c>
      <c r="L54" s="196">
        <f ca="1">IF(I54="Exempt",J54,J54-K54)</f>
        <v>0</v>
      </c>
      <c r="M54" s="198"/>
    </row>
    <row r="55" spans="1:13">
      <c r="A55" s="170"/>
      <c r="B55" s="655" t="str">
        <f>IF('Tour Application Form'!A70="","",'Tour Application Form'!A70)</f>
        <v/>
      </c>
      <c r="C55" s="656"/>
      <c r="D55" s="185" t="str">
        <f>IF('Tour Application Form'!AG70="","",'Tour Application Form'!AG70)</f>
        <v/>
      </c>
      <c r="E55" s="217"/>
      <c r="F55" s="194">
        <f>IF('Tour Application Form'!X70="",0,'Tour Application Form'!X70)</f>
        <v>0</v>
      </c>
      <c r="G55" s="195">
        <f>IF('Tour Application Form'!T70="",0,'Tour Application Form'!T70)</f>
        <v>0</v>
      </c>
      <c r="H55" s="185" t="str">
        <f>IF('Tour Application Form'!Z70="","Yes",'Tour Application Form'!Z70)</f>
        <v>Yes</v>
      </c>
      <c r="I55" s="185" t="str">
        <f>IF('Tour Application Form'!AA70="","Zero",'Tour Application Form'!AA70)</f>
        <v>Standard</v>
      </c>
      <c r="J55" s="195">
        <f ca="1">IF(H55="Inc",F55*G55,F55*G55*(1+IF(OR(I55="Standard",I55="Exempt"),IF(AND($L$9&gt;39782,$L$9&lt;40179),0.15,0.175),0)))</f>
        <v>0</v>
      </c>
      <c r="K55" s="195">
        <f ca="1">IF(H55="Inc",IF(OR(I55="Standard",I55="Exempt"),IF(AND($L$9&gt;39782,$L$9&lt;40179),0.15,0.175)*F55*G55/IF(AND($L$9&gt;39782,$L$9&lt;40179),1.15,1.175),0),IF(OR(I55="Standard",I55="Exempt"),IF(AND($L$9&gt;39782,$L$9&lt;40179),0.15,0.175)*F55*G55,0))</f>
        <v>0</v>
      </c>
      <c r="L55" s="196">
        <f ca="1">IF(I55="Exempt",J55,J55-K55)</f>
        <v>0</v>
      </c>
      <c r="M55" s="198"/>
    </row>
    <row r="56" spans="1:13">
      <c r="A56" s="170"/>
      <c r="B56" s="185"/>
      <c r="C56" s="185"/>
      <c r="D56" s="185"/>
      <c r="E56" s="216"/>
      <c r="F56" s="194"/>
      <c r="G56" s="195"/>
      <c r="H56" s="185"/>
      <c r="I56" s="185"/>
      <c r="J56" s="195"/>
      <c r="K56" s="195"/>
      <c r="L56" s="196"/>
      <c r="M56" s="198"/>
    </row>
    <row r="57" spans="1:13">
      <c r="A57" s="170"/>
      <c r="B57" s="185" t="s">
        <v>306</v>
      </c>
      <c r="C57" s="185"/>
      <c r="D57" s="185"/>
      <c r="E57" s="216"/>
      <c r="F57" s="194"/>
      <c r="G57" s="195"/>
      <c r="H57" s="185"/>
      <c r="I57" s="185"/>
      <c r="J57" s="195">
        <f ca="1">SUM(J50:J56)</f>
        <v>0</v>
      </c>
      <c r="K57" s="195">
        <f ca="1">SUM(K50:K56)</f>
        <v>0</v>
      </c>
      <c r="L57" s="196">
        <f ca="1">SUM(L50:L56)</f>
        <v>0</v>
      </c>
      <c r="M57" s="198"/>
    </row>
    <row r="58" spans="1:13">
      <c r="A58" s="170"/>
      <c r="B58" s="170"/>
      <c r="C58" s="170"/>
      <c r="D58" s="170"/>
      <c r="E58" s="170"/>
      <c r="F58" s="171"/>
      <c r="G58" s="172"/>
      <c r="H58" s="170"/>
      <c r="I58" s="170"/>
      <c r="J58" s="172"/>
      <c r="K58" s="172"/>
      <c r="L58" s="173"/>
      <c r="M58" s="198"/>
    </row>
    <row r="59" spans="1:13">
      <c r="A59" s="170"/>
      <c r="B59" s="215" t="s">
        <v>302</v>
      </c>
      <c r="C59" s="215"/>
      <c r="D59" s="215"/>
      <c r="E59" s="215" t="s">
        <v>1013</v>
      </c>
      <c r="F59" s="194"/>
      <c r="G59" s="195"/>
      <c r="H59" s="185"/>
      <c r="I59" s="185"/>
      <c r="J59" s="195"/>
      <c r="K59" s="195"/>
      <c r="L59" s="196"/>
      <c r="M59" s="198"/>
    </row>
    <row r="60" spans="1:13">
      <c r="A60" s="170"/>
      <c r="B60" s="655" t="str">
        <f>IF('Tour Application Form'!A74="","",'Tour Application Form'!A74)</f>
        <v>Student Tour Ticket</v>
      </c>
      <c r="C60" s="656"/>
      <c r="D60" s="185" t="str">
        <f>IF('Tour Application Form'!AG74="","",'Tour Application Form'!AG74)</f>
        <v>Ticket Income</v>
      </c>
      <c r="E60" s="199">
        <f>IF('Tour Application Form'!V74="",0,'Tour Application Form'!V74)</f>
        <v>1</v>
      </c>
      <c r="F60" s="194">
        <f>'Tour Application Form'!T74</f>
        <v>30</v>
      </c>
      <c r="G60" s="195">
        <f>IF('Tour Application Form'!R115="",'Tour Application Form'!P74,'Tour Application Form'!R115)</f>
        <v>0</v>
      </c>
      <c r="H60" s="185" t="str">
        <f>IF('Tour Application Form'!Z74="Yes","Inc","Ex")</f>
        <v>Inc</v>
      </c>
      <c r="I60" s="185" t="str">
        <f>IF('Tour Application Form'!AA74="","Zero",'Tour Application Form'!AA74)</f>
        <v>Standard</v>
      </c>
      <c r="J60" s="195">
        <f>IF(H60="Inc",F60*G60,F60*G60*(1+IF(OR(I60="Standard",I60="Exempt"),IF(AND($L$9&gt;39782,$L$9&lt;40179),0.15,0.175),0)))</f>
        <v>0</v>
      </c>
      <c r="K60" s="195">
        <f ca="1">IF(H60="Inc",IF(OR(I60="Standard",I60="Exempt"),IF(AND($L$9&gt;39782,$L$9&lt;40179),0.15,0.175)*F60*G60/IF(AND($L$9&gt;39782,$L$9&lt;40179),1.15,1.175),0),IF(OR(I60="Standard",I60="Exempt"),IF(AND($L$9&gt;39782,$L$9&lt;40179),0.15,0.175)*F60*G60,0))</f>
        <v>0</v>
      </c>
      <c r="L60" s="196">
        <f ca="1">IF(I60="Exempt",J60,J60-K60)</f>
        <v>0</v>
      </c>
      <c r="M60" s="198"/>
    </row>
    <row r="61" spans="1:13">
      <c r="A61" s="170"/>
      <c r="B61" s="655" t="str">
        <f>IF('Tour Application Form'!A75="","",'Tour Application Form'!A75)</f>
        <v>Non Student Tour Ticket</v>
      </c>
      <c r="C61" s="656"/>
      <c r="D61" s="185" t="str">
        <f>IF('Tour Application Form'!AG75="","",'Tour Application Form'!AG75)</f>
        <v>Ticket Income</v>
      </c>
      <c r="E61" s="199">
        <f>IF('Tour Application Form'!V75="",0,'Tour Application Form'!V75)</f>
        <v>1</v>
      </c>
      <c r="F61" s="194">
        <f>'Tour Application Form'!T75</f>
        <v>0</v>
      </c>
      <c r="G61" s="195">
        <f>IF('Tour Application Form'!R116="",'Tour Application Form'!P75,'Tour Application Form'!R116)</f>
        <v>0</v>
      </c>
      <c r="H61" s="185" t="str">
        <f>IF('Tour Application Form'!Z75="Yes","Inc","Ex")</f>
        <v>Inc</v>
      </c>
      <c r="I61" s="185" t="str">
        <f>IF('Tour Application Form'!AA75="","Zero",'Tour Application Form'!AA75)</f>
        <v>Standard</v>
      </c>
      <c r="J61" s="195">
        <f>IF(H61="Inc",F61*G61,F61*G61*(1+IF(OR(I61="Standard",I61="Exempt"),IF(AND($L$9&gt;39782,$L$9&lt;40179),0.15,0.175),0)))</f>
        <v>0</v>
      </c>
      <c r="K61" s="195">
        <f ca="1">IF(H61="Inc",IF(OR(I61="Standard",I61="Exempt"),IF(AND($L$9&gt;39782,$L$9&lt;40179),0.15,0.175)*F61*G61/IF(AND($L$9&gt;39782,$L$9&lt;40179),1.15,1.175),0),IF(OR(I61="Standard",I61="Exempt"),IF(AND($L$9&gt;39782,$L$9&lt;40179),0.15,0.175)*F61*G61,0))</f>
        <v>0</v>
      </c>
      <c r="L61" s="196">
        <f ca="1">IF(I61="Exempt",J61,J61-K61)</f>
        <v>0</v>
      </c>
      <c r="M61" s="198"/>
    </row>
    <row r="62" spans="1:13">
      <c r="A62" s="170"/>
      <c r="B62" s="655" t="str">
        <f>IF('Tour Application Form'!A76="","",'Tour Application Form'!A76)</f>
        <v>Student Tour Ticket</v>
      </c>
      <c r="C62" s="656"/>
      <c r="D62" s="185" t="str">
        <f>IF('Tour Application Form'!AG76="","",'Tour Application Form'!AG76)</f>
        <v>Ticket Income</v>
      </c>
      <c r="E62" s="199">
        <f>IF('Tour Application Form'!V76="",0,'Tour Application Form'!V76)</f>
        <v>1</v>
      </c>
      <c r="F62" s="194">
        <f>'Tour Application Form'!T76</f>
        <v>30</v>
      </c>
      <c r="G62" s="195">
        <f>'Tour Application Form'!P76</f>
        <v>60</v>
      </c>
      <c r="H62" s="185" t="str">
        <f>IF('Tour Application Form'!Z76="Yes","Inc","Ex")</f>
        <v>Inc</v>
      </c>
      <c r="I62" s="185" t="str">
        <f>IF('Tour Application Form'!AA76="","Zero",'Tour Application Form'!AA76)</f>
        <v>Standard</v>
      </c>
      <c r="J62" s="195">
        <f>IF(H62="Inc",F62*G62,F62*G62*(1+IF(OR(I62="Standard",I62="Exempt"),IF(AND($L$9&gt;39782,$L$9&lt;40179),0.15,0.175),0)))</f>
        <v>1800</v>
      </c>
      <c r="K62" s="195">
        <f ca="1">IF(H62="Inc",IF(OR(I62="Standard",I62="Exempt"),IF(AND($L$9&gt;39782,$L$9&lt;40179),0.15,0.175)*F62*G62/IF(AND($L$9&gt;39782,$L$9&lt;40179),1.15,1.175),0),IF(OR(I62="Standard",I62="Exempt"),IF(AND($L$9&gt;39782,$L$9&lt;40179),0.15,0.175)*F62*G62,0))</f>
        <v>268.08510638297872</v>
      </c>
      <c r="L62" s="196">
        <f ca="1">IF(I62="Exempt",J62,J62-K62)</f>
        <v>1531.9148936170213</v>
      </c>
      <c r="M62" s="198"/>
    </row>
    <row r="63" spans="1:13">
      <c r="A63" s="170"/>
      <c r="B63" s="655" t="str">
        <f>IF('Tour Application Form'!A77="","",'Tour Application Form'!A77)</f>
        <v/>
      </c>
      <c r="C63" s="656"/>
      <c r="D63" s="185" t="str">
        <f>IF('Tour Application Form'!AG77="","",'Tour Application Form'!AG77)</f>
        <v/>
      </c>
      <c r="E63" s="199">
        <f>IF('Tour Application Form'!V77="",0,'Tour Application Form'!V77)</f>
        <v>0</v>
      </c>
      <c r="F63" s="194">
        <f>'Tour Application Form'!T77</f>
        <v>0</v>
      </c>
      <c r="G63" s="195">
        <f>'Tour Application Form'!P77</f>
        <v>0</v>
      </c>
      <c r="H63" s="185" t="str">
        <f>IF('Tour Application Form'!Z77="Yes","Inc","Ex")</f>
        <v>Inc</v>
      </c>
      <c r="I63" s="185" t="str">
        <f>IF('Tour Application Form'!AA77="","Zero",'Tour Application Form'!AA77)</f>
        <v>Standard</v>
      </c>
      <c r="J63" s="195">
        <f>IF(H63="Inc",F63*G63,F63*G63*(1+IF(OR(I63="Standard",I63="Exempt"),IF(AND($L$9&gt;39782,$L$9&lt;40179),0.15,0.175),0)))</f>
        <v>0</v>
      </c>
      <c r="K63" s="195">
        <f ca="1">IF(H63="Inc",IF(OR(I63="Standard",I63="Exempt"),IF(AND($L$9&gt;39782,$L$9&lt;40179),0.15,0.175)*F63*G63/IF(AND($L$9&gt;39782,$L$9&lt;40179),1.15,1.175),0),IF(OR(I63="Standard",I63="Exempt"),IF(AND($L$9&gt;39782,$L$9&lt;40179),0.15,0.175)*F63*G63,0))</f>
        <v>0</v>
      </c>
      <c r="L63" s="196">
        <f ca="1">IF(I63="Exempt",J63,J63-K63)</f>
        <v>0</v>
      </c>
      <c r="M63" s="198"/>
    </row>
    <row r="64" spans="1:13">
      <c r="A64" s="170"/>
      <c r="B64" s="655" t="str">
        <f>IF('Tour Application Form'!A78="","",'Tour Application Form'!A78)</f>
        <v/>
      </c>
      <c r="C64" s="656"/>
      <c r="D64" s="185" t="str">
        <f>IF('Tour Application Form'!AG78="","",'Tour Application Form'!AG78)</f>
        <v/>
      </c>
      <c r="E64" s="199">
        <f>IF('Tour Application Form'!V78="",0,'Tour Application Form'!V78)</f>
        <v>0</v>
      </c>
      <c r="F64" s="194">
        <f>'Tour Application Form'!T78</f>
        <v>0</v>
      </c>
      <c r="G64" s="195">
        <f>'Tour Application Form'!P78</f>
        <v>0</v>
      </c>
      <c r="H64" s="185" t="str">
        <f>IF('Tour Application Form'!Z78="Yes","Inc","Ex")</f>
        <v>Inc</v>
      </c>
      <c r="I64" s="185" t="str">
        <f>IF('Tour Application Form'!AA78="","Zero",'Tour Application Form'!AA78)</f>
        <v>Standard</v>
      </c>
      <c r="J64" s="195">
        <f>IF(H64="Inc",F64*G64,F64*G64*(1+IF(OR(I64="Standard",I64="Exempt"),IF(AND($L$9&gt;39782,$L$9&lt;40179),0.15,0.175),0)))</f>
        <v>0</v>
      </c>
      <c r="K64" s="195">
        <f ca="1">IF(H64="Inc",IF(OR(I64="Standard",I64="Exempt"),IF(AND($L$9&gt;39782,$L$9&lt;40179),0.15,0.175)*F64*G64/IF(AND($L$9&gt;39782,$L$9&lt;40179),1.15,1.175),0),IF(OR(I64="Standard",I64="Exempt"),IF(AND($L$9&gt;39782,$L$9&lt;40179),0.15,0.175)*F64*G64,0))</f>
        <v>0</v>
      </c>
      <c r="L64" s="196">
        <f ca="1">IF(I64="Exempt",J64,J64-K64)</f>
        <v>0</v>
      </c>
      <c r="M64" s="198"/>
    </row>
    <row r="65" spans="1:13">
      <c r="A65" s="170"/>
      <c r="B65" s="185"/>
      <c r="C65" s="185"/>
      <c r="D65" s="185"/>
      <c r="E65" s="185"/>
      <c r="F65" s="194"/>
      <c r="G65" s="195"/>
      <c r="H65" s="185"/>
      <c r="I65" s="185"/>
      <c r="J65" s="195"/>
      <c r="K65" s="195"/>
      <c r="L65" s="196"/>
      <c r="M65" s="198"/>
    </row>
    <row r="66" spans="1:13">
      <c r="A66" s="170"/>
      <c r="B66" s="185" t="s">
        <v>310</v>
      </c>
      <c r="C66" s="185"/>
      <c r="D66" s="185"/>
      <c r="E66" s="185"/>
      <c r="F66" s="194"/>
      <c r="G66" s="195"/>
      <c r="H66" s="185"/>
      <c r="I66" s="185"/>
      <c r="J66" s="195">
        <f>SUM(J59:J65)</f>
        <v>1800</v>
      </c>
      <c r="K66" s="195">
        <f ca="1">SUM(K59:K65)</f>
        <v>268.08510638297872</v>
      </c>
      <c r="L66" s="196">
        <f ca="1">SUM(L59:L65)</f>
        <v>1531.9148936170213</v>
      </c>
      <c r="M66" s="198"/>
    </row>
    <row r="67" spans="1:13">
      <c r="A67" s="170"/>
      <c r="B67" s="170"/>
      <c r="C67" s="170"/>
      <c r="D67" s="170"/>
      <c r="E67" s="170"/>
      <c r="F67" s="171"/>
      <c r="G67" s="172"/>
      <c r="H67" s="170"/>
      <c r="I67" s="170"/>
      <c r="J67" s="218"/>
      <c r="K67" s="218"/>
      <c r="L67" s="219"/>
    </row>
    <row r="68" spans="1:13">
      <c r="A68" s="220"/>
      <c r="B68" s="220" t="s">
        <v>311</v>
      </c>
      <c r="C68" s="220"/>
      <c r="D68" s="220"/>
      <c r="E68" s="220"/>
      <c r="F68" s="221"/>
      <c r="G68" s="222"/>
      <c r="H68" s="220"/>
      <c r="I68" s="220"/>
      <c r="J68" s="223">
        <f ca="1">J66+J57</f>
        <v>1800</v>
      </c>
      <c r="K68" s="223">
        <f ca="1">K66+K57</f>
        <v>268.08510638297872</v>
      </c>
      <c r="L68" s="223">
        <f ca="1">L66+L57</f>
        <v>1531.9148936170213</v>
      </c>
    </row>
    <row r="69" spans="1:13">
      <c r="A69" s="170"/>
      <c r="B69" s="170"/>
      <c r="C69" s="170"/>
      <c r="D69" s="170"/>
      <c r="E69" s="170"/>
      <c r="F69" s="171"/>
      <c r="G69" s="172"/>
      <c r="H69" s="170"/>
      <c r="I69" s="170"/>
      <c r="J69" s="172"/>
      <c r="K69" s="172"/>
      <c r="L69" s="173"/>
    </row>
    <row r="70" spans="1:13" ht="15.75">
      <c r="A70" s="224"/>
      <c r="B70" s="224" t="s">
        <v>313</v>
      </c>
      <c r="C70" s="224"/>
      <c r="D70" s="224"/>
      <c r="E70" s="224"/>
      <c r="F70" s="225"/>
      <c r="G70" s="226"/>
      <c r="H70" s="224"/>
      <c r="I70" s="224"/>
      <c r="J70" s="227">
        <f ca="1">J68-J47</f>
        <v>-20</v>
      </c>
      <c r="K70" s="227">
        <f ca="1">K68-K47</f>
        <v>-2.9787234042553337</v>
      </c>
      <c r="L70" s="227">
        <f ca="1">L68-L47</f>
        <v>-82.55319148936178</v>
      </c>
    </row>
    <row r="71" spans="1:13">
      <c r="A71" s="170"/>
      <c r="B71" s="170"/>
      <c r="C71" s="170"/>
      <c r="D71" s="170"/>
      <c r="E71" s="170"/>
      <c r="F71" s="171"/>
      <c r="G71" s="172"/>
      <c r="H71" s="172"/>
      <c r="I71" s="170"/>
      <c r="J71" s="170"/>
      <c r="K71" s="172"/>
      <c r="L71" s="172"/>
    </row>
    <row r="72" spans="1:13">
      <c r="A72" s="170"/>
      <c r="B72" s="170"/>
      <c r="C72" s="170"/>
      <c r="D72" s="170"/>
      <c r="E72" s="170"/>
      <c r="F72" s="171"/>
      <c r="G72" s="172"/>
      <c r="H72" s="172"/>
      <c r="I72" s="170"/>
      <c r="J72" s="170"/>
      <c r="K72" s="172"/>
      <c r="L72" s="172"/>
    </row>
    <row r="73" spans="1:13">
      <c r="A73" s="170"/>
      <c r="B73" s="228" t="s">
        <v>999</v>
      </c>
      <c r="C73" s="228"/>
      <c r="D73" s="228"/>
      <c r="E73" s="171"/>
      <c r="F73" s="172"/>
      <c r="H73" s="172"/>
      <c r="I73" s="170"/>
      <c r="J73" s="170"/>
      <c r="K73" s="172"/>
      <c r="L73" s="172"/>
    </row>
    <row r="74" spans="1:13">
      <c r="A74" s="170"/>
      <c r="B74" s="170"/>
      <c r="C74" s="170"/>
      <c r="D74" s="170"/>
      <c r="E74" s="171"/>
      <c r="F74" s="172"/>
      <c r="H74" s="172"/>
      <c r="I74" s="170"/>
      <c r="J74" s="170"/>
      <c r="K74" s="172"/>
      <c r="L74" s="172"/>
    </row>
    <row r="75" spans="1:13">
      <c r="A75" s="170"/>
      <c r="B75" s="170" t="s">
        <v>1004</v>
      </c>
      <c r="C75" s="170" t="s">
        <v>315</v>
      </c>
      <c r="D75" s="171" t="s">
        <v>316</v>
      </c>
      <c r="E75" s="172" t="s">
        <v>317</v>
      </c>
      <c r="F75" s="170" t="s">
        <v>319</v>
      </c>
      <c r="H75" s="170"/>
      <c r="I75" s="172"/>
      <c r="J75" s="172"/>
      <c r="K75" s="172"/>
      <c r="L75" s="172"/>
    </row>
    <row r="76" spans="1:13">
      <c r="A76" s="170"/>
      <c r="B76" s="229">
        <v>0.5</v>
      </c>
      <c r="C76" s="170">
        <f t="shared" ref="C76:C86" si="6">ROUND((D$12*B76),0)</f>
        <v>15</v>
      </c>
      <c r="D76" s="230">
        <f ca="1">L$57+((L$66/D$12)*C76)+((IF('Tour Application Form'!N$111="",0,'Tour Application Form'!N$110))*D$14)</f>
        <v>765.95744680851067</v>
      </c>
      <c r="E76" s="230">
        <f t="shared" ref="E76:E86" ca="1" si="7">L$31+(L$45/D$12)*C76</f>
        <v>1614.4680851063831</v>
      </c>
      <c r="F76" s="230">
        <f ca="1">D76-E76</f>
        <v>-848.51063829787245</v>
      </c>
      <c r="H76" s="170"/>
      <c r="I76" s="172"/>
      <c r="J76" s="172"/>
      <c r="K76" s="172"/>
      <c r="L76" s="172"/>
    </row>
    <row r="77" spans="1:13">
      <c r="A77" s="170"/>
      <c r="B77" s="229">
        <v>0.6</v>
      </c>
      <c r="C77" s="170">
        <f t="shared" si="6"/>
        <v>18</v>
      </c>
      <c r="D77" s="230">
        <f ca="1">L$57+((L$66/D$12)*C77)+((IF('Tour Application Form'!N$111="",0,'Tour Application Form'!N$110))*D$14)</f>
        <v>919.14893617021278</v>
      </c>
      <c r="E77" s="230">
        <f t="shared" ca="1" si="7"/>
        <v>1614.4680851063831</v>
      </c>
      <c r="F77" s="230">
        <f t="shared" ref="F77:F86" ca="1" si="8">D77-E77</f>
        <v>-695.31914893617034</v>
      </c>
      <c r="H77" s="170"/>
      <c r="I77" s="172"/>
      <c r="J77" s="172"/>
      <c r="K77" s="172"/>
      <c r="L77" s="172"/>
    </row>
    <row r="78" spans="1:13">
      <c r="A78" s="170"/>
      <c r="B78" s="229">
        <v>0.7</v>
      </c>
      <c r="C78" s="170">
        <f t="shared" si="6"/>
        <v>21</v>
      </c>
      <c r="D78" s="230">
        <f ca="1">L$57+((L$66/D$12)*C78)+((IF('Tour Application Form'!N$111="",0,'Tour Application Form'!N$110))*D$14)</f>
        <v>1072.3404255319149</v>
      </c>
      <c r="E78" s="230">
        <f t="shared" ca="1" si="7"/>
        <v>1614.4680851063831</v>
      </c>
      <c r="F78" s="230">
        <f t="shared" ca="1" si="8"/>
        <v>-542.12765957446823</v>
      </c>
      <c r="H78" s="170"/>
      <c r="I78" s="172"/>
      <c r="J78" s="172"/>
      <c r="K78" s="172"/>
      <c r="L78" s="172"/>
    </row>
    <row r="79" spans="1:13">
      <c r="A79" s="170"/>
      <c r="B79" s="229">
        <v>0.8</v>
      </c>
      <c r="C79" s="170">
        <f t="shared" si="6"/>
        <v>24</v>
      </c>
      <c r="D79" s="230">
        <f ca="1">L$57+((L$66/D$12)*C79)+((IF('Tour Application Form'!N$111="",0,'Tour Application Form'!N$110))*D$14)</f>
        <v>1225.5319148936169</v>
      </c>
      <c r="E79" s="230">
        <f t="shared" ca="1" si="7"/>
        <v>1614.4680851063831</v>
      </c>
      <c r="F79" s="230">
        <f t="shared" ca="1" si="8"/>
        <v>-388.93617021276623</v>
      </c>
      <c r="H79" s="170"/>
      <c r="I79" s="172"/>
      <c r="J79" s="172"/>
      <c r="K79" s="172"/>
      <c r="L79" s="172"/>
    </row>
    <row r="80" spans="1:13">
      <c r="A80" s="170"/>
      <c r="B80" s="229">
        <v>0.9</v>
      </c>
      <c r="C80" s="170">
        <f t="shared" si="6"/>
        <v>27</v>
      </c>
      <c r="D80" s="230">
        <f ca="1">L$57+((L$66/D$12)*C80)+((IF('Tour Application Form'!N$111="",0,'Tour Application Form'!N$110))*D$14)</f>
        <v>1378.7234042553191</v>
      </c>
      <c r="E80" s="230">
        <f t="shared" ca="1" si="7"/>
        <v>1614.4680851063831</v>
      </c>
      <c r="F80" s="230">
        <f t="shared" ca="1" si="8"/>
        <v>-235.744680851064</v>
      </c>
      <c r="H80" s="170"/>
      <c r="I80" s="172"/>
      <c r="J80" s="172"/>
      <c r="K80" s="172"/>
      <c r="L80" s="172"/>
    </row>
    <row r="81" spans="1:12">
      <c r="A81" s="170"/>
      <c r="B81" s="229">
        <v>1</v>
      </c>
      <c r="C81" s="170">
        <f t="shared" si="6"/>
        <v>30</v>
      </c>
      <c r="D81" s="230">
        <f ca="1">L$57+((L$66/D$12)*C81)+((IF('Tour Application Form'!N$111="",0,'Tour Application Form'!N$110))*D$14)</f>
        <v>1531.9148936170213</v>
      </c>
      <c r="E81" s="230">
        <f t="shared" ca="1" si="7"/>
        <v>1614.4680851063831</v>
      </c>
      <c r="F81" s="230">
        <f t="shared" ca="1" si="8"/>
        <v>-82.55319148936178</v>
      </c>
      <c r="H81" s="170"/>
      <c r="I81" s="172"/>
      <c r="J81" s="172"/>
      <c r="K81" s="172"/>
      <c r="L81" s="172"/>
    </row>
    <row r="82" spans="1:12">
      <c r="A82" s="170"/>
      <c r="B82" s="229">
        <v>1.1000000000000001</v>
      </c>
      <c r="C82" s="170">
        <f t="shared" si="6"/>
        <v>33</v>
      </c>
      <c r="D82" s="230">
        <f ca="1">L$57+((L$66/D$12)*C82)+((IF('Tour Application Form'!N$111="",0,'Tour Application Form'!N$110))*D$14)</f>
        <v>1685.1063829787233</v>
      </c>
      <c r="E82" s="230">
        <f t="shared" ca="1" si="7"/>
        <v>1614.4680851063831</v>
      </c>
      <c r="F82" s="230">
        <f t="shared" ca="1" si="8"/>
        <v>70.638297872340218</v>
      </c>
      <c r="H82" s="170"/>
      <c r="I82" s="172"/>
      <c r="J82" s="172"/>
      <c r="K82" s="172"/>
      <c r="L82" s="172"/>
    </row>
    <row r="83" spans="1:12">
      <c r="A83" s="170"/>
      <c r="B83" s="229">
        <v>1.2</v>
      </c>
      <c r="C83" s="170">
        <f t="shared" si="6"/>
        <v>36</v>
      </c>
      <c r="D83" s="230">
        <f ca="1">L$57+((L$66/D$12)*C83)+((IF('Tour Application Form'!N$111="",0,'Tour Application Form'!N$110))*D$14)</f>
        <v>1838.2978723404256</v>
      </c>
      <c r="E83" s="230">
        <f t="shared" ca="1" si="7"/>
        <v>1614.4680851063831</v>
      </c>
      <c r="F83" s="230">
        <f t="shared" ca="1" si="8"/>
        <v>223.82978723404244</v>
      </c>
      <c r="H83" s="170"/>
      <c r="I83" s="172"/>
      <c r="J83" s="172"/>
      <c r="K83" s="172"/>
      <c r="L83" s="172"/>
    </row>
    <row r="84" spans="1:12">
      <c r="A84" s="170"/>
      <c r="B84" s="229">
        <v>1.3</v>
      </c>
      <c r="C84" s="170">
        <f t="shared" si="6"/>
        <v>39</v>
      </c>
      <c r="D84" s="230">
        <f ca="1">L$57+((L$66/D$12)*C84)+((IF('Tour Application Form'!N$111="",0,'Tour Application Form'!N$110))*D$14)</f>
        <v>1991.4893617021276</v>
      </c>
      <c r="E84" s="230">
        <f t="shared" ca="1" si="7"/>
        <v>1614.4680851063831</v>
      </c>
      <c r="F84" s="230">
        <f t="shared" ca="1" si="8"/>
        <v>377.02127659574444</v>
      </c>
      <c r="H84" s="170"/>
      <c r="I84" s="172"/>
      <c r="J84" s="172"/>
      <c r="K84" s="172"/>
      <c r="L84" s="172"/>
    </row>
    <row r="85" spans="1:12">
      <c r="A85" s="170"/>
      <c r="B85" s="229">
        <v>1.4</v>
      </c>
      <c r="C85" s="170">
        <f t="shared" si="6"/>
        <v>42</v>
      </c>
      <c r="D85" s="230">
        <f ca="1">L$57+((L$66/D$12)*C85)+((IF('Tour Application Form'!N$111="",0,'Tour Application Form'!N$110))*D$14)</f>
        <v>2144.6808510638298</v>
      </c>
      <c r="E85" s="230">
        <f t="shared" ca="1" si="7"/>
        <v>1614.4680851063831</v>
      </c>
      <c r="F85" s="230">
        <f t="shared" ca="1" si="8"/>
        <v>530.21276595744666</v>
      </c>
      <c r="H85" s="170"/>
      <c r="I85" s="172"/>
      <c r="J85" s="172"/>
      <c r="K85" s="172"/>
      <c r="L85" s="172"/>
    </row>
    <row r="86" spans="1:12">
      <c r="A86" s="170"/>
      <c r="B86" s="229">
        <v>1.5</v>
      </c>
      <c r="C86" s="170">
        <f t="shared" si="6"/>
        <v>45</v>
      </c>
      <c r="D86" s="230">
        <f ca="1">L$57+((L$66/D$12)*C86)+((IF('Tour Application Form'!N$111="",0,'Tour Application Form'!N$110))*D$14)</f>
        <v>2297.872340425532</v>
      </c>
      <c r="E86" s="230">
        <f t="shared" ca="1" si="7"/>
        <v>1614.4680851063831</v>
      </c>
      <c r="F86" s="230">
        <f t="shared" ca="1" si="8"/>
        <v>683.40425531914889</v>
      </c>
      <c r="H86" s="170"/>
      <c r="I86" s="172"/>
      <c r="J86" s="172"/>
      <c r="K86" s="172"/>
      <c r="L86" s="172"/>
    </row>
    <row r="87" spans="1:12">
      <c r="A87" s="170"/>
      <c r="B87" s="170"/>
      <c r="C87" s="170"/>
      <c r="D87" s="231"/>
      <c r="E87" s="172"/>
      <c r="F87" s="172"/>
      <c r="G87" s="172"/>
      <c r="H87" s="170"/>
      <c r="I87" s="172"/>
      <c r="J87" s="172"/>
      <c r="K87" s="172"/>
      <c r="L87" s="172"/>
    </row>
    <row r="88" spans="1:12">
      <c r="A88" s="170"/>
      <c r="B88" s="170"/>
      <c r="C88" s="170"/>
      <c r="D88" s="170"/>
      <c r="E88" s="170"/>
      <c r="F88" s="171"/>
      <c r="G88" s="172"/>
      <c r="H88" s="170"/>
      <c r="I88" s="170"/>
      <c r="J88" s="170"/>
      <c r="K88" s="172"/>
      <c r="L88" s="172"/>
    </row>
    <row r="89" spans="1:12">
      <c r="A89" s="170"/>
      <c r="B89" s="170"/>
      <c r="C89" s="170"/>
      <c r="D89" s="170"/>
      <c r="E89" s="170"/>
      <c r="F89" s="171"/>
      <c r="G89" s="172"/>
      <c r="H89" s="170"/>
      <c r="I89" s="170"/>
      <c r="J89" s="170"/>
      <c r="K89" s="172"/>
      <c r="L89" s="172"/>
    </row>
    <row r="90" spans="1:12">
      <c r="A90" s="170"/>
      <c r="B90" s="170"/>
      <c r="C90" s="659" t="s">
        <v>1006</v>
      </c>
      <c r="D90" s="660"/>
      <c r="E90" s="660"/>
      <c r="F90" s="660"/>
      <c r="G90" s="660"/>
      <c r="H90" s="660"/>
      <c r="I90" s="660"/>
      <c r="J90" s="660"/>
      <c r="K90" s="660"/>
      <c r="L90" s="660"/>
    </row>
    <row r="91" spans="1:12">
      <c r="A91" s="170"/>
      <c r="B91" s="170"/>
      <c r="C91" s="660"/>
      <c r="D91" s="660"/>
      <c r="E91" s="660"/>
      <c r="F91" s="660"/>
      <c r="G91" s="660"/>
      <c r="H91" s="660"/>
      <c r="I91" s="660"/>
      <c r="J91" s="660"/>
      <c r="K91" s="660"/>
      <c r="L91" s="660"/>
    </row>
    <row r="92" spans="1:12">
      <c r="A92" s="170"/>
      <c r="B92" s="170"/>
      <c r="C92" s="660"/>
      <c r="D92" s="660"/>
      <c r="E92" s="660"/>
      <c r="F92" s="660"/>
      <c r="G92" s="660"/>
      <c r="H92" s="660"/>
      <c r="I92" s="660"/>
      <c r="J92" s="660"/>
      <c r="K92" s="660"/>
      <c r="L92" s="660"/>
    </row>
    <row r="93" spans="1:12">
      <c r="F93" s="232"/>
      <c r="G93" s="232"/>
      <c r="H93" s="232"/>
      <c r="I93" s="232"/>
      <c r="K93" s="233"/>
      <c r="L93" s="233"/>
    </row>
  </sheetData>
  <sheetProtection password="C887" sheet="1" objects="1" scenarios="1" selectLockedCells="1"/>
  <mergeCells count="40">
    <mergeCell ref="B35:C35"/>
    <mergeCell ref="B36:C36"/>
    <mergeCell ref="B39:C39"/>
    <mergeCell ref="B40:C40"/>
    <mergeCell ref="B61:C61"/>
    <mergeCell ref="B52:C52"/>
    <mergeCell ref="B53:C53"/>
    <mergeCell ref="B54:C54"/>
    <mergeCell ref="K3:L3"/>
    <mergeCell ref="B42:C42"/>
    <mergeCell ref="B20:C20"/>
    <mergeCell ref="B21:C21"/>
    <mergeCell ref="B25:C25"/>
    <mergeCell ref="B33:C33"/>
    <mergeCell ref="B29:C29"/>
    <mergeCell ref="B30:C30"/>
    <mergeCell ref="B23:C23"/>
    <mergeCell ref="B24:C24"/>
    <mergeCell ref="B22:C22"/>
    <mergeCell ref="B41:C41"/>
    <mergeCell ref="B34:C34"/>
    <mergeCell ref="D4:H4"/>
    <mergeCell ref="G8:H8"/>
    <mergeCell ref="B28:C28"/>
    <mergeCell ref="C90:L92"/>
    <mergeCell ref="B37:C37"/>
    <mergeCell ref="B55:C55"/>
    <mergeCell ref="B38:C38"/>
    <mergeCell ref="B43:C43"/>
    <mergeCell ref="B51:C51"/>
    <mergeCell ref="B64:C64"/>
    <mergeCell ref="B60:C60"/>
    <mergeCell ref="B62:C62"/>
    <mergeCell ref="B63:C63"/>
    <mergeCell ref="D8:E8"/>
    <mergeCell ref="D10:H10"/>
    <mergeCell ref="B26:C26"/>
    <mergeCell ref="B27:C27"/>
    <mergeCell ref="D6:H6"/>
    <mergeCell ref="B19:C19"/>
  </mergeCells>
  <phoneticPr fontId="12" type="noConversion"/>
  <dataValidations disablePrompts="1" count="3">
    <dataValidation type="list" allowBlank="1" showInputMessage="1" showErrorMessage="1" sqref="H50">
      <formula1>"Inc,Ex"</formula1>
    </dataValidation>
    <dataValidation type="list" allowBlank="1" showInputMessage="1" showErrorMessage="1" sqref="I50">
      <formula1>"Std, Zero"</formula1>
    </dataValidation>
    <dataValidation type="list" allowBlank="1" showInputMessage="1" showErrorMessage="1" sqref="I4">
      <formula1>ClubNames</formula1>
    </dataValidation>
  </dataValidations>
  <pageMargins left="0.75" right="0.75" top="1" bottom="1" header="0.5" footer="0.5"/>
  <pageSetup paperSize="9"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3">
    <pageSetUpPr fitToPage="1"/>
  </sheetPr>
  <dimension ref="A1:O124"/>
  <sheetViews>
    <sheetView workbookViewId="0">
      <pane ySplit="1" topLeftCell="A2" activePane="bottomLeft" state="frozen"/>
      <selection pane="bottomLeft" activeCell="K45" sqref="K45"/>
    </sheetView>
  </sheetViews>
  <sheetFormatPr defaultRowHeight="12.75"/>
  <cols>
    <col min="1" max="1" width="3" style="1" customWidth="1"/>
    <col min="2" max="2" width="2.28515625" style="1" customWidth="1"/>
    <col min="3" max="3" width="22.42578125" style="1" customWidth="1"/>
    <col min="4" max="4" width="5.7109375" style="3" customWidth="1"/>
    <col min="5" max="5" width="5" style="3" customWidth="1"/>
    <col min="6" max="6" width="9.7109375" style="4" bestFit="1" customWidth="1"/>
    <col min="7" max="7" width="13.42578125" style="4" customWidth="1"/>
    <col min="8" max="9" width="5.7109375" style="1" customWidth="1"/>
    <col min="10" max="10" width="12.7109375" style="1" customWidth="1"/>
    <col min="11" max="11" width="11.85546875" style="4" customWidth="1"/>
    <col min="12" max="12" width="14.28515625" style="4" customWidth="1"/>
    <col min="13" max="13" width="10.42578125" style="5" customWidth="1"/>
    <col min="14" max="14" width="9.7109375" style="1" bestFit="1" customWidth="1"/>
    <col min="15" max="15" width="81" style="1" bestFit="1" customWidth="1"/>
    <col min="16" max="16384" width="9.140625" style="1"/>
  </cols>
  <sheetData>
    <row r="1" spans="1:13" ht="15.75">
      <c r="A1" s="678" t="s">
        <v>391</v>
      </c>
      <c r="B1" s="678"/>
      <c r="C1" s="678"/>
      <c r="D1" s="678"/>
      <c r="E1" s="678"/>
      <c r="F1" s="678"/>
      <c r="G1" s="678"/>
      <c r="H1" s="678"/>
      <c r="I1" s="678"/>
      <c r="J1" s="678"/>
      <c r="K1" s="678"/>
    </row>
    <row r="2" spans="1:13">
      <c r="A2" s="51" t="s">
        <v>291</v>
      </c>
      <c r="M2" s="1"/>
    </row>
    <row r="3" spans="1:13">
      <c r="L3" s="670" t="s">
        <v>292</v>
      </c>
      <c r="M3" s="671"/>
    </row>
    <row r="4" spans="1:13">
      <c r="A4" s="1" t="s">
        <v>293</v>
      </c>
      <c r="D4" s="672" t="str">
        <f>'Tour Application Form'!R7</f>
        <v>RSM De La Beche</v>
      </c>
      <c r="E4" s="673"/>
      <c r="F4" s="673"/>
      <c r="G4" s="673"/>
      <c r="H4" s="673"/>
      <c r="I4" s="673"/>
      <c r="J4" s="674"/>
      <c r="L4" s="6"/>
      <c r="M4" s="7"/>
    </row>
    <row r="5" spans="1:13">
      <c r="D5" s="8"/>
      <c r="E5" s="8"/>
      <c r="F5" s="9"/>
      <c r="G5" s="9"/>
      <c r="H5" s="10"/>
      <c r="I5" s="10"/>
      <c r="J5" s="10"/>
      <c r="L5" s="6" t="s">
        <v>13</v>
      </c>
      <c r="M5" s="41" t="str">
        <f>IF('Tour Application Form'!H7="","",'Tour Application Form'!H7)</f>
        <v>647</v>
      </c>
    </row>
    <row r="6" spans="1:13">
      <c r="A6" s="1" t="s">
        <v>295</v>
      </c>
      <c r="D6" s="42" t="str">
        <f>IF('Tour Application Form'!G18="","",'Tour Application Form'!G18)</f>
        <v>25th</v>
      </c>
      <c r="E6" s="43" t="str">
        <f>IF('Tour Application Form'!I18="","",'Tour Application Form'!I18)</f>
        <v>Jan</v>
      </c>
      <c r="F6" s="44">
        <f>IF('Tour Application Form'!K18="","",'Tour Application Form'!K18)</f>
        <v>2011</v>
      </c>
      <c r="G6" s="12" t="s">
        <v>237</v>
      </c>
      <c r="H6" s="42" t="str">
        <f>IF('Tour Application Form'!O18="","",'Tour Application Form'!O18)</f>
        <v>27th</v>
      </c>
      <c r="I6" s="43" t="str">
        <f>IF('Tour Application Form'!Q18="","",'Tour Application Form'!Q18)</f>
        <v>Jan</v>
      </c>
      <c r="J6" s="44">
        <f>IF('Tour Application Form'!S18="","",'Tour Application Form'!S18)</f>
        <v>2011</v>
      </c>
      <c r="L6" s="6"/>
      <c r="M6" s="7"/>
    </row>
    <row r="7" spans="1:13">
      <c r="D7" s="8"/>
      <c r="E7" s="8"/>
      <c r="F7" s="9"/>
      <c r="G7" s="9"/>
      <c r="H7" s="10"/>
      <c r="I7" s="10"/>
      <c r="J7" s="10"/>
      <c r="L7" s="11" t="s">
        <v>294</v>
      </c>
      <c r="M7" s="45"/>
    </row>
    <row r="8" spans="1:13">
      <c r="A8" s="1" t="s">
        <v>296</v>
      </c>
      <c r="D8" s="672" t="str">
        <f>'Tour Application Form'!E16</f>
        <v>Bude, Cornwall and surroundng areas</v>
      </c>
      <c r="E8" s="673"/>
      <c r="F8" s="673"/>
      <c r="G8" s="673"/>
      <c r="H8" s="673"/>
      <c r="I8" s="673"/>
      <c r="J8" s="674"/>
    </row>
    <row r="9" spans="1:13">
      <c r="D9" s="8"/>
      <c r="E9" s="8"/>
      <c r="F9" s="9"/>
      <c r="G9" s="9"/>
      <c r="H9" s="10"/>
      <c r="I9" s="10"/>
      <c r="J9" s="10"/>
    </row>
    <row r="10" spans="1:13">
      <c r="A10" s="1" t="s">
        <v>341</v>
      </c>
      <c r="D10" s="46">
        <f>'Tour Application Form'!AK16</f>
        <v>30</v>
      </c>
      <c r="E10" s="47"/>
      <c r="F10" s="9"/>
      <c r="G10" s="13"/>
      <c r="H10" s="14"/>
      <c r="I10" s="14"/>
      <c r="J10" s="14"/>
      <c r="K10" s="14"/>
    </row>
    <row r="11" spans="1:13">
      <c r="G11" s="14"/>
      <c r="H11" s="14"/>
      <c r="I11" s="14"/>
      <c r="J11" s="14"/>
      <c r="K11" s="14"/>
    </row>
    <row r="12" spans="1:13" ht="12.75" customHeight="1">
      <c r="A12" s="1" t="s">
        <v>342</v>
      </c>
      <c r="D12" s="48">
        <f>'Tour Application Form'!AK17</f>
        <v>0</v>
      </c>
      <c r="E12" s="49"/>
      <c r="G12" s="14"/>
      <c r="H12" s="14"/>
      <c r="I12" s="14"/>
      <c r="J12" s="14"/>
      <c r="K12" s="14"/>
      <c r="L12" s="15"/>
    </row>
    <row r="13" spans="1:13">
      <c r="G13" s="14"/>
      <c r="H13" s="14"/>
      <c r="I13" s="14"/>
      <c r="J13" s="14"/>
      <c r="K13" s="14"/>
      <c r="L13" s="15"/>
    </row>
    <row r="14" spans="1:13">
      <c r="A14" s="1" t="s">
        <v>339</v>
      </c>
      <c r="G14" s="14"/>
      <c r="H14" s="14"/>
      <c r="I14" s="14"/>
      <c r="J14" s="14"/>
      <c r="K14" s="14"/>
      <c r="L14" s="15"/>
    </row>
    <row r="15" spans="1:13">
      <c r="D15" s="667"/>
      <c r="E15" s="667"/>
      <c r="H15" s="668"/>
      <c r="I15" s="668"/>
      <c r="L15" s="15"/>
    </row>
    <row r="16" spans="1:13" ht="15.75">
      <c r="A16" s="675" t="s">
        <v>297</v>
      </c>
      <c r="B16" s="675"/>
      <c r="C16" s="675"/>
      <c r="D16" s="675"/>
      <c r="E16" s="675"/>
      <c r="F16" s="675"/>
      <c r="G16" s="37"/>
      <c r="H16" s="667"/>
      <c r="I16" s="667"/>
      <c r="J16" s="665"/>
      <c r="K16" s="665"/>
      <c r="L16" s="15"/>
    </row>
    <row r="17" spans="2:13">
      <c r="B17" s="666" t="s">
        <v>300</v>
      </c>
      <c r="C17" s="666"/>
      <c r="D17" s="666"/>
      <c r="E17" s="666"/>
      <c r="F17" s="666"/>
      <c r="G17" s="37" t="s">
        <v>299</v>
      </c>
      <c r="H17" s="667" t="s">
        <v>298</v>
      </c>
      <c r="I17" s="667"/>
      <c r="J17" s="665" t="s">
        <v>340</v>
      </c>
      <c r="K17" s="665"/>
    </row>
    <row r="18" spans="2:13">
      <c r="C18" s="666" t="str">
        <f>'Tour Application Form'!A35</f>
        <v>2 mini buses hired for 3 days</v>
      </c>
      <c r="D18" s="666"/>
      <c r="E18" s="666"/>
      <c r="F18" s="666"/>
      <c r="G18" s="37">
        <f>IF('Tour Application Form'!T35="","",'Tour Application Form'!T35)</f>
        <v>440</v>
      </c>
      <c r="H18" s="667">
        <f>'Tour Application Form'!X35</f>
        <v>1</v>
      </c>
      <c r="I18" s="667"/>
      <c r="J18" s="665" t="e">
        <f>IF('Tour Application Form'!#REF!="","",'Tour Application Form'!#REF!)</f>
        <v>#REF!</v>
      </c>
      <c r="K18" s="665"/>
      <c r="L18" s="17"/>
      <c r="M18" s="18"/>
    </row>
    <row r="19" spans="2:13">
      <c r="C19" s="666" t="str">
        <f>'Tour Application Form'!A36</f>
        <v>accommodation</v>
      </c>
      <c r="D19" s="666"/>
      <c r="E19" s="666"/>
      <c r="F19" s="666"/>
      <c r="G19" s="37">
        <f>IF('Tour Application Form'!T36="","",'Tour Application Form'!T36)</f>
        <v>900</v>
      </c>
      <c r="H19" s="667">
        <f>'Tour Application Form'!X36</f>
        <v>1</v>
      </c>
      <c r="I19" s="667"/>
      <c r="J19" s="665" t="e">
        <f>IF('Tour Application Form'!#REF!="","",'Tour Application Form'!#REF!)</f>
        <v>#REF!</v>
      </c>
      <c r="K19" s="665"/>
      <c r="L19" s="17"/>
      <c r="M19" s="18"/>
    </row>
    <row r="20" spans="2:13">
      <c r="C20" s="666" t="str">
        <f>'Tour Application Form'!A37</f>
        <v>fuel</v>
      </c>
      <c r="D20" s="666"/>
      <c r="E20" s="666"/>
      <c r="F20" s="666"/>
      <c r="G20" s="37">
        <f>IF('Tour Application Form'!T37="","",'Tour Application Form'!T37)</f>
        <v>480</v>
      </c>
      <c r="H20" s="667">
        <f>'Tour Application Form'!X37</f>
        <v>1</v>
      </c>
      <c r="I20" s="667"/>
      <c r="J20" s="665" t="e">
        <f>IF('Tour Application Form'!#REF!="","",'Tour Application Form'!#REF!)</f>
        <v>#REF!</v>
      </c>
      <c r="K20" s="665"/>
      <c r="L20" s="1"/>
      <c r="M20" s="1"/>
    </row>
    <row r="21" spans="2:13">
      <c r="C21" s="666">
        <f>'Tour Application Form'!A38</f>
        <v>0</v>
      </c>
      <c r="D21" s="666"/>
      <c r="E21" s="666"/>
      <c r="F21" s="666"/>
      <c r="G21" s="37" t="str">
        <f>IF('Tour Application Form'!T38="","",'Tour Application Form'!T38)</f>
        <v/>
      </c>
      <c r="H21" s="667">
        <f>'Tour Application Form'!X38</f>
        <v>0</v>
      </c>
      <c r="I21" s="667"/>
      <c r="J21" s="665" t="e">
        <f>IF('Tour Application Form'!#REF!="","",'Tour Application Form'!#REF!)</f>
        <v>#REF!</v>
      </c>
      <c r="K21" s="665"/>
      <c r="L21" s="1"/>
      <c r="M21" s="1"/>
    </row>
    <row r="22" spans="2:13">
      <c r="C22" s="666">
        <f>'Tour Application Form'!A39</f>
        <v>0</v>
      </c>
      <c r="D22" s="666"/>
      <c r="E22" s="666"/>
      <c r="F22" s="666"/>
      <c r="G22" s="37" t="str">
        <f>IF('Tour Application Form'!T39="","",'Tour Application Form'!T39)</f>
        <v/>
      </c>
      <c r="H22" s="667">
        <f>'Tour Application Form'!X39</f>
        <v>0</v>
      </c>
      <c r="I22" s="667"/>
      <c r="J22" s="665" t="e">
        <f>IF('Tour Application Form'!#REF!="","",'Tour Application Form'!#REF!)</f>
        <v>#REF!</v>
      </c>
      <c r="K22" s="665"/>
      <c r="L22" s="1"/>
      <c r="M22" s="1"/>
    </row>
    <row r="23" spans="2:13">
      <c r="C23" s="666">
        <f>'Tour Application Form'!A40</f>
        <v>0</v>
      </c>
      <c r="D23" s="666"/>
      <c r="E23" s="666"/>
      <c r="F23" s="666"/>
      <c r="G23" s="37" t="str">
        <f>IF('Tour Application Form'!T40="","",'Tour Application Form'!T40)</f>
        <v/>
      </c>
      <c r="H23" s="667">
        <f>'Tour Application Form'!X40</f>
        <v>0</v>
      </c>
      <c r="I23" s="667"/>
      <c r="J23" s="665" t="e">
        <f>IF('Tour Application Form'!#REF!="","",'Tour Application Form'!#REF!)</f>
        <v>#REF!</v>
      </c>
      <c r="K23" s="665"/>
      <c r="L23" s="1"/>
      <c r="M23" s="1"/>
    </row>
    <row r="24" spans="2:13">
      <c r="C24" s="666">
        <f>'Tour Application Form'!A41</f>
        <v>0</v>
      </c>
      <c r="D24" s="666"/>
      <c r="E24" s="666"/>
      <c r="F24" s="666"/>
      <c r="G24" s="37" t="str">
        <f>IF('Tour Application Form'!T41="","",'Tour Application Form'!T41)</f>
        <v/>
      </c>
      <c r="H24" s="667">
        <f>'Tour Application Form'!X41</f>
        <v>0</v>
      </c>
      <c r="I24" s="667"/>
      <c r="J24" s="665" t="e">
        <f>IF('Tour Application Form'!#REF!="","",'Tour Application Form'!#REF!)</f>
        <v>#REF!</v>
      </c>
      <c r="K24" s="665"/>
      <c r="L24" s="1"/>
      <c r="M24" s="1"/>
    </row>
    <row r="25" spans="2:13">
      <c r="C25" s="666">
        <f>'Tour Application Form'!A42</f>
        <v>0</v>
      </c>
      <c r="D25" s="666"/>
      <c r="E25" s="666"/>
      <c r="F25" s="666"/>
      <c r="G25" s="37" t="str">
        <f>IF('Tour Application Form'!T42="","",'Tour Application Form'!T42)</f>
        <v/>
      </c>
      <c r="H25" s="667">
        <f>'Tour Application Form'!X42</f>
        <v>0</v>
      </c>
      <c r="I25" s="667"/>
      <c r="J25" s="665" t="e">
        <f>IF('Tour Application Form'!#REF!="","",'Tour Application Form'!#REF!)</f>
        <v>#REF!</v>
      </c>
      <c r="K25" s="665"/>
      <c r="L25" s="1"/>
      <c r="M25" s="1"/>
    </row>
    <row r="26" spans="2:13">
      <c r="C26" s="666">
        <f>'Tour Application Form'!A43</f>
        <v>0</v>
      </c>
      <c r="D26" s="666"/>
      <c r="E26" s="666"/>
      <c r="F26" s="666"/>
      <c r="G26" s="37" t="str">
        <f>IF('Tour Application Form'!T43="","",'Tour Application Form'!T43)</f>
        <v/>
      </c>
      <c r="H26" s="667">
        <f>'Tour Application Form'!X43</f>
        <v>0</v>
      </c>
      <c r="I26" s="667"/>
      <c r="J26" s="665" t="e">
        <f>IF('Tour Application Form'!#REF!="","",'Tour Application Form'!#REF!)</f>
        <v>#REF!</v>
      </c>
      <c r="K26" s="665"/>
      <c r="L26" s="1"/>
      <c r="M26" s="1"/>
    </row>
    <row r="27" spans="2:13">
      <c r="C27" s="666">
        <f>'Tour Application Form'!A44</f>
        <v>0</v>
      </c>
      <c r="D27" s="666"/>
      <c r="E27" s="666"/>
      <c r="F27" s="666"/>
      <c r="G27" s="37" t="str">
        <f>IF('Tour Application Form'!T44="","",'Tour Application Form'!T44)</f>
        <v/>
      </c>
      <c r="H27" s="667">
        <f>'Tour Application Form'!X44</f>
        <v>0</v>
      </c>
      <c r="I27" s="667"/>
      <c r="J27" s="665" t="e">
        <f>IF('Tour Application Form'!#REF!="","",'Tour Application Form'!#REF!)</f>
        <v>#REF!</v>
      </c>
      <c r="K27" s="665"/>
      <c r="L27" s="1"/>
      <c r="M27" s="1"/>
    </row>
    <row r="28" spans="2:13">
      <c r="D28" s="667"/>
      <c r="E28" s="667"/>
      <c r="H28" s="668"/>
      <c r="I28" s="668"/>
      <c r="J28" s="668"/>
      <c r="K28" s="668"/>
      <c r="L28" s="1"/>
      <c r="M28" s="1"/>
    </row>
    <row r="29" spans="2:13">
      <c r="B29" s="1" t="s">
        <v>301</v>
      </c>
      <c r="D29" s="667"/>
      <c r="E29" s="667"/>
      <c r="H29" s="668"/>
      <c r="I29" s="668"/>
      <c r="J29" s="669" t="e">
        <f>SUM(J18:J28)</f>
        <v>#REF!</v>
      </c>
      <c r="K29" s="669"/>
      <c r="L29" s="1"/>
      <c r="M29" s="1"/>
    </row>
    <row r="30" spans="2:13">
      <c r="D30" s="667"/>
      <c r="E30" s="667"/>
      <c r="H30" s="668"/>
      <c r="I30" s="668"/>
      <c r="L30" s="1"/>
      <c r="M30" s="1"/>
    </row>
    <row r="31" spans="2:13">
      <c r="B31" s="666" t="s">
        <v>302</v>
      </c>
      <c r="C31" s="666"/>
      <c r="D31" s="666"/>
      <c r="E31" s="666"/>
      <c r="F31" s="666"/>
      <c r="G31" s="32" t="str">
        <f>G17</f>
        <v>Price/Unit</v>
      </c>
      <c r="H31" s="667" t="str">
        <f>H17</f>
        <v>Units</v>
      </c>
      <c r="I31" s="667"/>
      <c r="J31" s="4" t="s">
        <v>321</v>
      </c>
      <c r="K31" s="4" t="str">
        <f>J17</f>
        <v>Total (Gross)</v>
      </c>
      <c r="L31" s="1"/>
      <c r="M31" s="1"/>
    </row>
    <row r="32" spans="2:13">
      <c r="C32" s="666">
        <f>'Tour Application Form'!A52</f>
        <v>0</v>
      </c>
      <c r="D32" s="666"/>
      <c r="E32" s="666"/>
      <c r="F32" s="666"/>
      <c r="G32" s="37" t="str">
        <f>IF('Tour Application Form'!P52="","",'Tour Application Form'!P52)</f>
        <v/>
      </c>
      <c r="H32" s="667" t="str">
        <f>'Tour Application Form'!T52</f>
        <v/>
      </c>
      <c r="I32" s="667"/>
      <c r="J32" s="50" t="str">
        <f>IF('Tour Application Form'!V52=0,"",'Tour Application Form'!V52)</f>
        <v/>
      </c>
      <c r="K32" s="4" t="str">
        <f>IF('Tour Application Form'!Z52="","",'Tour Application Form'!Z52)</f>
        <v>Inc</v>
      </c>
      <c r="L32" s="1"/>
      <c r="M32" s="1"/>
    </row>
    <row r="33" spans="1:13">
      <c r="C33" s="666">
        <f>'Tour Application Form'!A53</f>
        <v>0</v>
      </c>
      <c r="D33" s="666"/>
      <c r="E33" s="666"/>
      <c r="F33" s="666"/>
      <c r="G33" s="37" t="str">
        <f>IF('Tour Application Form'!P53="","",'Tour Application Form'!P53)</f>
        <v/>
      </c>
      <c r="H33" s="667" t="str">
        <f>'Tour Application Form'!T53</f>
        <v/>
      </c>
      <c r="I33" s="667"/>
      <c r="J33" s="50" t="str">
        <f>IF('Tour Application Form'!V53=0,"",'Tour Application Form'!V53)</f>
        <v/>
      </c>
      <c r="K33" s="4" t="str">
        <f>IF('Tour Application Form'!Z53="","",'Tour Application Form'!Z53)</f>
        <v>Inc</v>
      </c>
      <c r="L33" s="1"/>
      <c r="M33" s="1"/>
    </row>
    <row r="34" spans="1:13">
      <c r="C34" s="666">
        <f>'Tour Application Form'!A54</f>
        <v>0</v>
      </c>
      <c r="D34" s="666"/>
      <c r="E34" s="666"/>
      <c r="F34" s="666"/>
      <c r="G34" s="37" t="str">
        <f>IF('Tour Application Form'!P54="","",'Tour Application Form'!P54)</f>
        <v/>
      </c>
      <c r="H34" s="667" t="str">
        <f>'Tour Application Form'!T54</f>
        <v/>
      </c>
      <c r="I34" s="667"/>
      <c r="J34" s="50" t="str">
        <f>IF('Tour Application Form'!V54=0,"",'Tour Application Form'!V54)</f>
        <v/>
      </c>
      <c r="K34" s="4" t="str">
        <f>IF('Tour Application Form'!Z54="","",'Tour Application Form'!Z54)</f>
        <v>Inc</v>
      </c>
      <c r="L34" s="1"/>
      <c r="M34" s="1"/>
    </row>
    <row r="35" spans="1:13">
      <c r="C35" s="666">
        <f>'Tour Application Form'!A55</f>
        <v>0</v>
      </c>
      <c r="D35" s="666"/>
      <c r="E35" s="666"/>
      <c r="F35" s="666"/>
      <c r="G35" s="37" t="str">
        <f>IF('Tour Application Form'!P55="","",'Tour Application Form'!P55)</f>
        <v/>
      </c>
      <c r="H35" s="667" t="str">
        <f>'Tour Application Form'!T55</f>
        <v/>
      </c>
      <c r="I35" s="667"/>
      <c r="J35" s="50" t="str">
        <f>IF('Tour Application Form'!V55=0,"",'Tour Application Form'!V55)</f>
        <v/>
      </c>
      <c r="K35" s="4" t="str">
        <f>IF('Tour Application Form'!Z55="","",'Tour Application Form'!Z55)</f>
        <v>Inc</v>
      </c>
      <c r="L35" s="1"/>
      <c r="M35" s="1"/>
    </row>
    <row r="36" spans="1:13">
      <c r="C36" s="666">
        <f>'Tour Application Form'!A56</f>
        <v>0</v>
      </c>
      <c r="D36" s="666"/>
      <c r="E36" s="666"/>
      <c r="F36" s="666"/>
      <c r="G36" s="37" t="str">
        <f>IF('Tour Application Form'!P56="","",'Tour Application Form'!P56)</f>
        <v/>
      </c>
      <c r="H36" s="667" t="str">
        <f>'Tour Application Form'!T56</f>
        <v/>
      </c>
      <c r="I36" s="667"/>
      <c r="J36" s="50" t="str">
        <f>IF('Tour Application Form'!V56=0,"",'Tour Application Form'!V56)</f>
        <v/>
      </c>
      <c r="K36" s="4" t="str">
        <f>IF('Tour Application Form'!Z56="","",'Tour Application Form'!Z56)</f>
        <v>Inc</v>
      </c>
      <c r="L36" s="1"/>
      <c r="M36" s="1"/>
    </row>
    <row r="37" spans="1:13">
      <c r="C37" s="666">
        <f>'Tour Application Form'!A57</f>
        <v>0</v>
      </c>
      <c r="D37" s="666"/>
      <c r="E37" s="666"/>
      <c r="F37" s="666"/>
      <c r="G37" s="37" t="str">
        <f>IF('Tour Application Form'!P57="","",'Tour Application Form'!P57)</f>
        <v/>
      </c>
      <c r="H37" s="667" t="str">
        <f>'Tour Application Form'!T57</f>
        <v/>
      </c>
      <c r="I37" s="667"/>
      <c r="J37" s="50" t="str">
        <f>IF('Tour Application Form'!V57=0,"",'Tour Application Form'!V57)</f>
        <v/>
      </c>
      <c r="K37" s="4" t="str">
        <f>IF('Tour Application Form'!Z57="","",'Tour Application Form'!Z57)</f>
        <v>Inc</v>
      </c>
      <c r="L37" s="1"/>
      <c r="M37" s="1"/>
    </row>
    <row r="38" spans="1:13">
      <c r="C38" s="666">
        <f>'Tour Application Form'!A58</f>
        <v>0</v>
      </c>
      <c r="D38" s="666"/>
      <c r="E38" s="666"/>
      <c r="F38" s="666"/>
      <c r="G38" s="37" t="str">
        <f>IF('Tour Application Form'!P58="","",'Tour Application Form'!P58)</f>
        <v/>
      </c>
      <c r="H38" s="667" t="str">
        <f>'Tour Application Form'!T58</f>
        <v/>
      </c>
      <c r="I38" s="667"/>
      <c r="J38" s="50" t="str">
        <f>IF('Tour Application Form'!V58=0,"",'Tour Application Form'!V58)</f>
        <v/>
      </c>
      <c r="K38" s="4" t="str">
        <f>IF('Tour Application Form'!Z58="","",'Tour Application Form'!Z58)</f>
        <v>Inc</v>
      </c>
      <c r="L38" s="1"/>
      <c r="M38" s="1"/>
    </row>
    <row r="39" spans="1:13">
      <c r="C39" s="666">
        <f>'Tour Application Form'!A59</f>
        <v>0</v>
      </c>
      <c r="D39" s="666"/>
      <c r="E39" s="666"/>
      <c r="F39" s="666"/>
      <c r="G39" s="37" t="str">
        <f>IF('Tour Application Form'!P59="","",'Tour Application Form'!P59)</f>
        <v/>
      </c>
      <c r="H39" s="667" t="str">
        <f>'Tour Application Form'!T59</f>
        <v/>
      </c>
      <c r="I39" s="667"/>
      <c r="J39" s="50" t="str">
        <f>IF('Tour Application Form'!V59=0,"",'Tour Application Form'!V59)</f>
        <v/>
      </c>
      <c r="K39" s="4" t="str">
        <f>IF('Tour Application Form'!Z59="","",'Tour Application Form'!Z59)</f>
        <v>Inc</v>
      </c>
      <c r="L39" s="1"/>
      <c r="M39" s="1"/>
    </row>
    <row r="40" spans="1:13">
      <c r="C40" s="666">
        <f>'Tour Application Form'!A60</f>
        <v>0</v>
      </c>
      <c r="D40" s="666"/>
      <c r="E40" s="666"/>
      <c r="F40" s="666"/>
      <c r="G40" s="37" t="str">
        <f>IF('Tour Application Form'!P60="","",'Tour Application Form'!P60)</f>
        <v/>
      </c>
      <c r="H40" s="667" t="str">
        <f>'Tour Application Form'!T60</f>
        <v/>
      </c>
      <c r="I40" s="667"/>
      <c r="J40" s="50" t="str">
        <f>IF('Tour Application Form'!V60=0,"",'Tour Application Form'!V60)</f>
        <v/>
      </c>
      <c r="K40" s="4" t="str">
        <f>IF('Tour Application Form'!Z60="","",'Tour Application Form'!Z60)</f>
        <v>Inc</v>
      </c>
      <c r="L40" s="1"/>
      <c r="M40" s="1"/>
    </row>
    <row r="41" spans="1:13">
      <c r="C41" s="666">
        <f>'Tour Application Form'!A61</f>
        <v>0</v>
      </c>
      <c r="D41" s="666"/>
      <c r="E41" s="666"/>
      <c r="F41" s="666"/>
      <c r="G41" s="37" t="str">
        <f>IF('Tour Application Form'!P61="","",'Tour Application Form'!P61)</f>
        <v/>
      </c>
      <c r="H41" s="667" t="str">
        <f>'Tour Application Form'!T61</f>
        <v/>
      </c>
      <c r="I41" s="667"/>
      <c r="J41" s="50" t="str">
        <f>IF('Tour Application Form'!V61=0,"",'Tour Application Form'!V61)</f>
        <v/>
      </c>
      <c r="K41" s="4" t="str">
        <f>IF('Tour Application Form'!Z61="","",'Tour Application Form'!Z61)</f>
        <v>Inc</v>
      </c>
      <c r="L41" s="1"/>
      <c r="M41" s="1"/>
    </row>
    <row r="42" spans="1:13">
      <c r="K42" s="19"/>
      <c r="L42" s="1"/>
      <c r="M42" s="1"/>
    </row>
    <row r="43" spans="1:13">
      <c r="B43" s="1" t="s">
        <v>303</v>
      </c>
      <c r="K43" s="4">
        <f>SUM(K32:K42)</f>
        <v>0</v>
      </c>
      <c r="L43" s="1"/>
      <c r="M43" s="1"/>
    </row>
    <row r="44" spans="1:13">
      <c r="K44" s="19"/>
      <c r="L44" s="1"/>
      <c r="M44" s="1"/>
    </row>
    <row r="45" spans="1:13">
      <c r="A45" s="20"/>
      <c r="B45" s="20" t="s">
        <v>304</v>
      </c>
      <c r="C45" s="20"/>
      <c r="D45" s="21"/>
      <c r="E45" s="21"/>
      <c r="F45" s="22"/>
      <c r="G45" s="22"/>
      <c r="H45" s="20"/>
      <c r="I45" s="20"/>
      <c r="J45" s="20"/>
      <c r="K45" s="22" t="e">
        <f>K43+J29</f>
        <v>#REF!</v>
      </c>
      <c r="L45" s="1"/>
      <c r="M45" s="1"/>
    </row>
    <row r="46" spans="1:13">
      <c r="A46" s="20"/>
      <c r="B46" s="20"/>
      <c r="C46" s="20"/>
      <c r="D46" s="21"/>
      <c r="E46" s="21"/>
      <c r="F46" s="22"/>
      <c r="G46" s="22"/>
      <c r="H46" s="20"/>
      <c r="I46" s="20"/>
      <c r="J46" s="20"/>
      <c r="K46" s="22"/>
      <c r="L46" s="1"/>
      <c r="M46" s="1"/>
    </row>
    <row r="47" spans="1:13" s="20" customFormat="1" ht="15.75">
      <c r="A47" s="16" t="s">
        <v>305</v>
      </c>
      <c r="B47" s="1"/>
      <c r="C47" s="1"/>
      <c r="D47" s="1"/>
      <c r="E47" s="1"/>
      <c r="F47" s="1"/>
      <c r="G47" s="37" t="s">
        <v>299</v>
      </c>
      <c r="H47" s="667" t="s">
        <v>298</v>
      </c>
      <c r="I47" s="667"/>
      <c r="J47" s="665" t="s">
        <v>340</v>
      </c>
      <c r="K47" s="665"/>
    </row>
    <row r="48" spans="1:13">
      <c r="B48" s="666" t="s">
        <v>300</v>
      </c>
      <c r="C48" s="666"/>
      <c r="D48" s="666"/>
      <c r="E48" s="666"/>
      <c r="F48" s="666"/>
      <c r="H48" s="667"/>
      <c r="I48" s="667"/>
      <c r="J48" s="4"/>
      <c r="L48" s="20"/>
      <c r="M48" s="20"/>
    </row>
    <row r="49" spans="2:13">
      <c r="C49" s="666">
        <f>'Tour Application Form'!A66</f>
        <v>0</v>
      </c>
      <c r="D49" s="666"/>
      <c r="E49" s="666"/>
      <c r="F49" s="666"/>
      <c r="G49" s="37" t="str">
        <f>IF('Tour Application Form'!X66="","",'Tour Application Form'!X66)</f>
        <v/>
      </c>
      <c r="H49" s="667" t="str">
        <f>'Tour Application Form'!AA66</f>
        <v>Standard</v>
      </c>
      <c r="I49" s="667"/>
      <c r="J49" s="665" t="str">
        <f ca="1">IF('Tour Application Form'!AC66="","",'Tour Application Form'!AC66)</f>
        <v/>
      </c>
      <c r="K49" s="665"/>
      <c r="L49" s="1"/>
      <c r="M49" s="1"/>
    </row>
    <row r="50" spans="2:13">
      <c r="C50" s="666">
        <f>'Tour Application Form'!A67</f>
        <v>0</v>
      </c>
      <c r="D50" s="666"/>
      <c r="E50" s="666"/>
      <c r="F50" s="666"/>
      <c r="G50" s="37" t="str">
        <f>IF('Tour Application Form'!W67="","",'Tour Application Form'!W67)</f>
        <v/>
      </c>
      <c r="H50" s="667" t="str">
        <f>'Tour Application Form'!AA67</f>
        <v>Standard</v>
      </c>
      <c r="I50" s="667"/>
      <c r="J50" s="665" t="str">
        <f ca="1">IF('Tour Application Form'!AC67="","",'Tour Application Form'!AC67)</f>
        <v/>
      </c>
      <c r="K50" s="665"/>
      <c r="L50" s="1"/>
      <c r="M50" s="1"/>
    </row>
    <row r="51" spans="2:13">
      <c r="C51" s="666">
        <f>'Tour Application Form'!A68</f>
        <v>0</v>
      </c>
      <c r="D51" s="666"/>
      <c r="E51" s="666"/>
      <c r="F51" s="666"/>
      <c r="G51" s="37" t="str">
        <f>IF('Tour Application Form'!W68="","",'Tour Application Form'!W68)</f>
        <v/>
      </c>
      <c r="H51" s="667" t="str">
        <f>'Tour Application Form'!AA68</f>
        <v>Standard</v>
      </c>
      <c r="I51" s="667"/>
      <c r="J51" s="665" t="str">
        <f ca="1">IF('Tour Application Form'!AC68="","",'Tour Application Form'!AC68)</f>
        <v/>
      </c>
      <c r="K51" s="665"/>
      <c r="L51" s="1"/>
      <c r="M51" s="1"/>
    </row>
    <row r="52" spans="2:13">
      <c r="C52" s="666">
        <f>'Tour Application Form'!A69</f>
        <v>0</v>
      </c>
      <c r="D52" s="666"/>
      <c r="E52" s="666"/>
      <c r="F52" s="666"/>
      <c r="G52" s="37" t="str">
        <f>IF('Tour Application Form'!W69="","",'Tour Application Form'!W69)</f>
        <v/>
      </c>
      <c r="H52" s="667" t="str">
        <f>'Tour Application Form'!AA69</f>
        <v>Standard</v>
      </c>
      <c r="I52" s="667"/>
      <c r="J52" s="665" t="str">
        <f ca="1">IF('Tour Application Form'!AC69="","",'Tour Application Form'!AC69)</f>
        <v/>
      </c>
      <c r="K52" s="665"/>
      <c r="L52" s="1"/>
      <c r="M52" s="1"/>
    </row>
    <row r="53" spans="2:13">
      <c r="C53" s="666">
        <f>'Tour Application Form'!A70</f>
        <v>0</v>
      </c>
      <c r="D53" s="666"/>
      <c r="E53" s="666"/>
      <c r="F53" s="666"/>
      <c r="G53" s="37" t="str">
        <f>IF('Tour Application Form'!W70="","",'Tour Application Form'!W70)</f>
        <v/>
      </c>
      <c r="H53" s="667" t="str">
        <f>'Tour Application Form'!AA70</f>
        <v>Standard</v>
      </c>
      <c r="I53" s="667"/>
      <c r="J53" s="665" t="str">
        <f ca="1">IF('Tour Application Form'!AC70="","",'Tour Application Form'!AC70)</f>
        <v/>
      </c>
      <c r="K53" s="665"/>
      <c r="L53" s="1"/>
      <c r="M53" s="1"/>
    </row>
    <row r="54" spans="2:13">
      <c r="J54" s="665"/>
      <c r="K54" s="665"/>
      <c r="L54" s="1"/>
      <c r="M54" s="1"/>
    </row>
    <row r="55" spans="2:13">
      <c r="B55" s="1" t="s">
        <v>306</v>
      </c>
      <c r="J55" s="669">
        <f ca="1">SUM(J49:K53)</f>
        <v>0</v>
      </c>
      <c r="K55" s="669"/>
      <c r="L55" s="1"/>
      <c r="M55" s="1"/>
    </row>
    <row r="56" spans="2:13">
      <c r="L56" s="1"/>
      <c r="M56" s="1"/>
    </row>
    <row r="57" spans="2:13">
      <c r="B57" s="1" t="s">
        <v>302</v>
      </c>
      <c r="G57" s="37" t="str">
        <f>G47</f>
        <v>Price/Unit</v>
      </c>
      <c r="H57" s="665" t="s">
        <v>298</v>
      </c>
      <c r="I57" s="665"/>
      <c r="J57" s="37" t="s">
        <v>386</v>
      </c>
      <c r="K57" s="4" t="str">
        <f>K31</f>
        <v>Total (Gross)</v>
      </c>
      <c r="L57" s="1"/>
      <c r="M57" s="1"/>
    </row>
    <row r="58" spans="2:13">
      <c r="C58" s="666" t="s">
        <v>307</v>
      </c>
      <c r="D58" s="666"/>
      <c r="E58" s="666"/>
      <c r="F58" s="666"/>
      <c r="G58" s="37" t="e">
        <f>IF(H58=0,"",K58/H58)</f>
        <v>#VALUE!</v>
      </c>
      <c r="H58" s="667">
        <f>TOMS_Capacity</f>
        <v>30</v>
      </c>
      <c r="I58" s="667"/>
      <c r="J58" s="50">
        <v>1</v>
      </c>
      <c r="K58" s="4" t="str">
        <f>IF('Tour Application Form'!N111=0,"",'Tour Application Form'!N111)</f>
        <v/>
      </c>
      <c r="L58" s="1"/>
      <c r="M58" s="1"/>
    </row>
    <row r="59" spans="2:13">
      <c r="C59" s="666" t="s">
        <v>308</v>
      </c>
      <c r="D59" s="666"/>
      <c r="E59" s="666"/>
      <c r="F59" s="666"/>
      <c r="G59" s="37" t="e">
        <f>IF(H59=0,"",K59/H59)</f>
        <v>#VALUE!</v>
      </c>
      <c r="H59" s="667">
        <f>TOMS_Capacity</f>
        <v>30</v>
      </c>
      <c r="I59" s="667"/>
      <c r="J59" s="50">
        <v>1</v>
      </c>
      <c r="K59" s="4" t="str">
        <f>IF('Tour Application Form'!AB115=0,"",'Tour Application Form'!AB115)</f>
        <v/>
      </c>
      <c r="L59" s="1"/>
      <c r="M59" s="1"/>
    </row>
    <row r="60" spans="2:13">
      <c r="C60" s="666" t="s">
        <v>309</v>
      </c>
      <c r="D60" s="666"/>
      <c r="E60" s="666"/>
      <c r="F60" s="666"/>
      <c r="G60" s="37" t="str">
        <f>IF(H60=0,"",K60/H60)</f>
        <v/>
      </c>
      <c r="H60" s="667">
        <f>TOMS_Attendence</f>
        <v>0</v>
      </c>
      <c r="I60" s="667"/>
      <c r="J60" s="50">
        <v>1</v>
      </c>
      <c r="K60" s="4" t="str">
        <f>IF('Tour Application Form'!AB116=0,"",'Tour Application Form'!AB116)</f>
        <v/>
      </c>
      <c r="L60" s="1"/>
      <c r="M60" s="1"/>
    </row>
    <row r="61" spans="2:13">
      <c r="C61" s="666" t="str">
        <f>'Tour Application Form'!A74</f>
        <v>Student Tour Ticket</v>
      </c>
      <c r="D61" s="666"/>
      <c r="E61" s="666"/>
      <c r="F61" s="666"/>
      <c r="G61" s="37" t="str">
        <f>IF('Tour Application Form'!S74="","",'Tour Application Form'!S74)</f>
        <v/>
      </c>
      <c r="H61" s="667">
        <f>'Tour Application Form'!W74</f>
        <v>0</v>
      </c>
      <c r="I61" s="667"/>
      <c r="J61" s="50">
        <f>'Tour Application Form'!V74</f>
        <v>1</v>
      </c>
      <c r="K61" s="4" t="str">
        <f ca="1">IF('Tour Application Form'!AC74="","",'Tour Application Form'!AC74)</f>
        <v/>
      </c>
      <c r="L61" s="1"/>
      <c r="M61" s="1"/>
    </row>
    <row r="62" spans="2:13">
      <c r="C62" s="666" t="str">
        <f>'Tour Application Form'!A75</f>
        <v>Non Student Tour Ticket</v>
      </c>
      <c r="D62" s="666"/>
      <c r="E62" s="666"/>
      <c r="F62" s="666"/>
      <c r="G62" s="37" t="str">
        <f>IF('Tour Application Form'!S75="","",'Tour Application Form'!S75)</f>
        <v/>
      </c>
      <c r="H62" s="667">
        <f>'Tour Application Form'!W75</f>
        <v>0</v>
      </c>
      <c r="I62" s="667"/>
      <c r="J62" s="50">
        <f>'Tour Application Form'!V75</f>
        <v>1</v>
      </c>
      <c r="K62" s="4" t="str">
        <f ca="1">IF('Tour Application Form'!AC75="","",'Tour Application Form'!AC75)</f>
        <v/>
      </c>
      <c r="M62" s="1"/>
    </row>
    <row r="63" spans="2:13">
      <c r="C63" s="666" t="str">
        <f>'Tour Application Form'!A76</f>
        <v>Student Tour Ticket</v>
      </c>
      <c r="D63" s="666"/>
      <c r="E63" s="666"/>
      <c r="F63" s="666"/>
      <c r="G63" s="37" t="str">
        <f>IF('Tour Application Form'!S76="","",'Tour Application Form'!S76)</f>
        <v/>
      </c>
      <c r="H63" s="667">
        <f>'Tour Application Form'!W76</f>
        <v>0</v>
      </c>
      <c r="I63" s="667"/>
      <c r="J63" s="50">
        <f>'Tour Application Form'!Y76</f>
        <v>0</v>
      </c>
      <c r="K63" s="4">
        <f ca="1">IF('Tour Application Form'!AC76="","",'Tour Application Form'!AC76)</f>
        <v>1531.9148936170213</v>
      </c>
      <c r="M63" s="1"/>
    </row>
    <row r="64" spans="2:13">
      <c r="C64" s="666">
        <f>'Tour Application Form'!A77</f>
        <v>0</v>
      </c>
      <c r="D64" s="666"/>
      <c r="E64" s="666"/>
      <c r="F64" s="666"/>
      <c r="G64" s="37" t="str">
        <f>IF('Tour Application Form'!S77="","",'Tour Application Form'!S77)</f>
        <v/>
      </c>
      <c r="H64" s="667">
        <f>'Tour Application Form'!W77</f>
        <v>0</v>
      </c>
      <c r="I64" s="667"/>
      <c r="J64" s="50">
        <f>'Tour Application Form'!Y77</f>
        <v>0</v>
      </c>
      <c r="K64" s="4" t="str">
        <f ca="1">IF('Tour Application Form'!AC77="","",'Tour Application Form'!AC77)</f>
        <v/>
      </c>
      <c r="L64" s="23"/>
      <c r="M64" s="1"/>
    </row>
    <row r="65" spans="1:15">
      <c r="C65" s="666">
        <f>'Tour Application Form'!A78</f>
        <v>0</v>
      </c>
      <c r="D65" s="666"/>
      <c r="E65" s="666"/>
      <c r="F65" s="666"/>
      <c r="G65" s="37" t="str">
        <f>IF('Tour Application Form'!S78="","",'Tour Application Form'!S78)</f>
        <v/>
      </c>
      <c r="H65" s="667">
        <f>'Tour Application Form'!W78</f>
        <v>0</v>
      </c>
      <c r="I65" s="667"/>
      <c r="J65" s="50">
        <f>'Tour Application Form'!Y78</f>
        <v>0</v>
      </c>
      <c r="K65" s="4" t="str">
        <f ca="1">IF('Tour Application Form'!AC78="","",'Tour Application Form'!AC78)</f>
        <v/>
      </c>
      <c r="M65" s="1"/>
    </row>
    <row r="66" spans="1:15">
      <c r="C66" s="10"/>
      <c r="D66" s="10"/>
      <c r="E66" s="10"/>
      <c r="F66" s="10"/>
      <c r="G66" s="37"/>
      <c r="H66" s="32"/>
      <c r="I66" s="32"/>
      <c r="J66" s="50"/>
      <c r="M66" s="1"/>
    </row>
    <row r="67" spans="1:15">
      <c r="B67" s="1" t="s">
        <v>310</v>
      </c>
      <c r="K67" s="4">
        <f ca="1">SUM(K57:K66)</f>
        <v>1531.9148936170213</v>
      </c>
      <c r="L67" s="24"/>
      <c r="M67" s="25"/>
      <c r="N67" s="20"/>
      <c r="O67" s="20"/>
    </row>
    <row r="68" spans="1:15" ht="15">
      <c r="A68" s="26"/>
      <c r="K68" s="19"/>
      <c r="L68" s="24"/>
      <c r="M68" s="25"/>
      <c r="N68" s="20"/>
      <c r="O68" s="20"/>
    </row>
    <row r="69" spans="1:15" s="20" customFormat="1">
      <c r="A69" s="1"/>
      <c r="B69" s="20" t="s">
        <v>311</v>
      </c>
      <c r="D69" s="21"/>
      <c r="E69" s="21"/>
      <c r="F69" s="22"/>
      <c r="G69" s="22"/>
      <c r="K69" s="22">
        <f ca="1">K67+J55</f>
        <v>1531.9148936170213</v>
      </c>
      <c r="L69" s="17"/>
      <c r="M69" s="18"/>
      <c r="N69" s="1"/>
      <c r="O69" s="1"/>
    </row>
    <row r="70" spans="1:15" ht="15">
      <c r="B70" s="20"/>
      <c r="C70" s="20"/>
      <c r="D70" s="21"/>
      <c r="E70" s="21"/>
      <c r="F70" s="22"/>
      <c r="G70" s="22"/>
      <c r="H70" s="20"/>
      <c r="I70" s="20"/>
      <c r="J70" s="20"/>
      <c r="K70" s="22"/>
      <c r="L70" s="29"/>
      <c r="M70" s="30"/>
      <c r="N70" s="26"/>
      <c r="O70" s="26"/>
    </row>
    <row r="71" spans="1:15" s="26" customFormat="1" ht="15">
      <c r="A71" s="1"/>
      <c r="B71" s="20"/>
      <c r="C71" s="20" t="s">
        <v>312</v>
      </c>
      <c r="D71" s="21"/>
      <c r="E71" s="21"/>
      <c r="F71" s="22"/>
      <c r="G71" s="22"/>
      <c r="H71" s="20"/>
      <c r="I71" s="20"/>
      <c r="J71" s="20"/>
      <c r="K71" s="22" t="e">
        <f ca="1">IF(K45&gt;K69,0,(K69-K45)*7/47)</f>
        <v>#REF!</v>
      </c>
      <c r="L71" s="17"/>
      <c r="M71" s="18"/>
      <c r="N71" s="1"/>
      <c r="O71" s="1"/>
    </row>
    <row r="72" spans="1:15">
      <c r="B72" s="20"/>
      <c r="C72" s="20"/>
      <c r="D72" s="21"/>
      <c r="E72" s="21"/>
      <c r="F72" s="22"/>
      <c r="G72" s="22"/>
      <c r="H72" s="20"/>
      <c r="I72" s="20"/>
      <c r="J72" s="20"/>
      <c r="K72" s="22"/>
      <c r="M72" s="18"/>
    </row>
    <row r="73" spans="1:15">
      <c r="M73" s="18"/>
    </row>
    <row r="74" spans="1:15" ht="15">
      <c r="B74" s="26" t="s">
        <v>313</v>
      </c>
      <c r="C74" s="26"/>
      <c r="D74" s="27"/>
      <c r="E74" s="27"/>
      <c r="F74" s="28"/>
      <c r="G74" s="28"/>
      <c r="H74" s="26"/>
      <c r="I74" s="26"/>
      <c r="J74" s="676" t="e">
        <f ca="1">K69-K45-K71</f>
        <v>#REF!</v>
      </c>
      <c r="K74" s="676"/>
      <c r="M74" s="18"/>
    </row>
    <row r="75" spans="1:15">
      <c r="M75" s="18"/>
    </row>
    <row r="76" spans="1:15">
      <c r="M76" s="18"/>
    </row>
    <row r="77" spans="1:15">
      <c r="C77" s="1" t="s">
        <v>314</v>
      </c>
      <c r="M77" s="18"/>
    </row>
    <row r="78" spans="1:15">
      <c r="M78" s="18"/>
    </row>
    <row r="79" spans="1:15">
      <c r="C79" s="1" t="s">
        <v>315</v>
      </c>
      <c r="D79" s="667" t="s">
        <v>316</v>
      </c>
      <c r="E79" s="667"/>
      <c r="F79" s="37" t="s">
        <v>317</v>
      </c>
      <c r="G79" s="37" t="s">
        <v>318</v>
      </c>
      <c r="H79" s="668"/>
      <c r="I79" s="668"/>
      <c r="J79" s="38" t="s">
        <v>319</v>
      </c>
      <c r="K79" s="38"/>
    </row>
    <row r="80" spans="1:15">
      <c r="C80" s="31">
        <f>ROUND((TOMS_Capacity+TOMS_Attendence)*0.8,0)</f>
        <v>24</v>
      </c>
      <c r="D80" s="665">
        <f t="shared" ref="D80:D90" ca="1" si="0">$J$55+$K$67/(TOMS_Attendence+TOMS_Capacity)*C80</f>
        <v>1225.5319148936169</v>
      </c>
      <c r="E80" s="665"/>
      <c r="F80" s="4" t="e">
        <f>$J$29+$K$43/(TOMS_Attendence+TOMS_Capacity)*C80</f>
        <v>#REF!</v>
      </c>
      <c r="G80" s="4" t="e">
        <f t="shared" ref="G80:G90" ca="1" si="1">IF(F80&gt;D80,0,7/47*(D80-F80))</f>
        <v>#REF!</v>
      </c>
      <c r="H80" s="677" t="e">
        <f ca="1">(F80-D80)/C80</f>
        <v>#REF!</v>
      </c>
      <c r="I80" s="677"/>
      <c r="J80" s="37" t="e">
        <f t="shared" ref="J80:J89" ca="1" si="2">D80-F80-G80</f>
        <v>#REF!</v>
      </c>
      <c r="K80" s="37"/>
    </row>
    <row r="81" spans="3:11">
      <c r="C81" s="31">
        <f>ROUND((TOMS_Capacity+TOMS_Attendence)*0.82,0)</f>
        <v>25</v>
      </c>
      <c r="D81" s="665">
        <f t="shared" ca="1" si="0"/>
        <v>1276.5957446808511</v>
      </c>
      <c r="E81" s="665"/>
      <c r="F81" s="4" t="e">
        <f t="shared" ref="F81:F90" si="3">$J$29+$K$43/(TOMS_Attendence+TOMS_Capacity)*C81</f>
        <v>#REF!</v>
      </c>
      <c r="G81" s="4" t="e">
        <f t="shared" ca="1" si="1"/>
        <v>#REF!</v>
      </c>
      <c r="H81" s="677" t="e">
        <f t="shared" ref="H81:H90" ca="1" si="4">(F81-D81)/C81</f>
        <v>#REF!</v>
      </c>
      <c r="I81" s="677"/>
      <c r="J81" s="37" t="e">
        <f t="shared" ca="1" si="2"/>
        <v>#REF!</v>
      </c>
      <c r="K81" s="37"/>
    </row>
    <row r="82" spans="3:11">
      <c r="C82" s="31">
        <f>ROUND((TOMS_Capacity+TOMS_Attendence)*0.84,0)</f>
        <v>25</v>
      </c>
      <c r="D82" s="665">
        <f t="shared" ca="1" si="0"/>
        <v>1276.5957446808511</v>
      </c>
      <c r="E82" s="665"/>
      <c r="F82" s="4" t="e">
        <f t="shared" si="3"/>
        <v>#REF!</v>
      </c>
      <c r="G82" s="4" t="e">
        <f t="shared" ca="1" si="1"/>
        <v>#REF!</v>
      </c>
      <c r="H82" s="677" t="e">
        <f t="shared" ca="1" si="4"/>
        <v>#REF!</v>
      </c>
      <c r="I82" s="677"/>
      <c r="J82" s="37" t="e">
        <f t="shared" ca="1" si="2"/>
        <v>#REF!</v>
      </c>
      <c r="K82" s="37"/>
    </row>
    <row r="83" spans="3:11">
      <c r="C83" s="31">
        <f>ROUND((TOMS_Capacity+TOMS_Attendence)*0.86,0)</f>
        <v>26</v>
      </c>
      <c r="D83" s="665">
        <f t="shared" ca="1" si="0"/>
        <v>1327.6595744680851</v>
      </c>
      <c r="E83" s="665"/>
      <c r="F83" s="4" t="e">
        <f t="shared" si="3"/>
        <v>#REF!</v>
      </c>
      <c r="G83" s="4" t="e">
        <f t="shared" ca="1" si="1"/>
        <v>#REF!</v>
      </c>
      <c r="H83" s="677" t="e">
        <f t="shared" ca="1" si="4"/>
        <v>#REF!</v>
      </c>
      <c r="I83" s="677"/>
      <c r="J83" s="37" t="e">
        <f t="shared" ca="1" si="2"/>
        <v>#REF!</v>
      </c>
      <c r="K83" s="37"/>
    </row>
    <row r="84" spans="3:11">
      <c r="C84" s="31">
        <f>ROUND((TOMS_Capacity+TOMS_Attendence)*0.88,0)</f>
        <v>26</v>
      </c>
      <c r="D84" s="665">
        <f t="shared" ca="1" si="0"/>
        <v>1327.6595744680851</v>
      </c>
      <c r="E84" s="665"/>
      <c r="F84" s="4" t="e">
        <f t="shared" si="3"/>
        <v>#REF!</v>
      </c>
      <c r="G84" s="4" t="e">
        <f t="shared" ca="1" si="1"/>
        <v>#REF!</v>
      </c>
      <c r="H84" s="677" t="e">
        <f t="shared" ca="1" si="4"/>
        <v>#REF!</v>
      </c>
      <c r="I84" s="677"/>
      <c r="J84" s="37" t="e">
        <f t="shared" ca="1" si="2"/>
        <v>#REF!</v>
      </c>
      <c r="K84" s="37"/>
    </row>
    <row r="85" spans="3:11">
      <c r="C85" s="31">
        <f>ROUND((TOMS_Capacity+TOMS_Attendence)*0.9,0)</f>
        <v>27</v>
      </c>
      <c r="D85" s="665">
        <f t="shared" ca="1" si="0"/>
        <v>1378.7234042553191</v>
      </c>
      <c r="E85" s="665"/>
      <c r="F85" s="4" t="e">
        <f t="shared" si="3"/>
        <v>#REF!</v>
      </c>
      <c r="G85" s="4" t="e">
        <f t="shared" ca="1" si="1"/>
        <v>#REF!</v>
      </c>
      <c r="H85" s="677" t="e">
        <f t="shared" ca="1" si="4"/>
        <v>#REF!</v>
      </c>
      <c r="I85" s="677"/>
      <c r="J85" s="37" t="e">
        <f t="shared" ca="1" si="2"/>
        <v>#REF!</v>
      </c>
      <c r="K85" s="37"/>
    </row>
    <row r="86" spans="3:11">
      <c r="C86" s="31">
        <f>ROUND((TOMS_Capacity+TOMS_Attendence)*0.92,0)</f>
        <v>28</v>
      </c>
      <c r="D86" s="665">
        <f t="shared" ca="1" si="0"/>
        <v>1429.7872340425531</v>
      </c>
      <c r="E86" s="665"/>
      <c r="F86" s="4" t="e">
        <f t="shared" si="3"/>
        <v>#REF!</v>
      </c>
      <c r="G86" s="4" t="e">
        <f t="shared" ca="1" si="1"/>
        <v>#REF!</v>
      </c>
      <c r="H86" s="677" t="e">
        <f t="shared" ca="1" si="4"/>
        <v>#REF!</v>
      </c>
      <c r="I86" s="677"/>
      <c r="J86" s="37" t="e">
        <f t="shared" ca="1" si="2"/>
        <v>#REF!</v>
      </c>
      <c r="K86" s="37"/>
    </row>
    <row r="87" spans="3:11">
      <c r="C87" s="31">
        <f>ROUND((TOMS_Capacity+TOMS_Attendence)*0.94,0)</f>
        <v>28</v>
      </c>
      <c r="D87" s="665">
        <f t="shared" ca="1" si="0"/>
        <v>1429.7872340425531</v>
      </c>
      <c r="E87" s="665"/>
      <c r="F87" s="4" t="e">
        <f t="shared" si="3"/>
        <v>#REF!</v>
      </c>
      <c r="G87" s="4" t="e">
        <f t="shared" ca="1" si="1"/>
        <v>#REF!</v>
      </c>
      <c r="H87" s="677" t="e">
        <f t="shared" ca="1" si="4"/>
        <v>#REF!</v>
      </c>
      <c r="I87" s="677"/>
      <c r="J87" s="37" t="e">
        <f t="shared" ca="1" si="2"/>
        <v>#REF!</v>
      </c>
      <c r="K87" s="37"/>
    </row>
    <row r="88" spans="3:11">
      <c r="C88" s="31">
        <f>ROUND((TOMS_Capacity+TOMS_Attendence)*0.96,0)</f>
        <v>29</v>
      </c>
      <c r="D88" s="665">
        <f t="shared" ca="1" si="0"/>
        <v>1480.8510638297871</v>
      </c>
      <c r="E88" s="665"/>
      <c r="F88" s="4" t="e">
        <f t="shared" si="3"/>
        <v>#REF!</v>
      </c>
      <c r="G88" s="4" t="e">
        <f t="shared" ca="1" si="1"/>
        <v>#REF!</v>
      </c>
      <c r="H88" s="677" t="e">
        <f t="shared" ca="1" si="4"/>
        <v>#REF!</v>
      </c>
      <c r="I88" s="677"/>
      <c r="J88" s="37" t="e">
        <f t="shared" ca="1" si="2"/>
        <v>#REF!</v>
      </c>
      <c r="K88" s="37"/>
    </row>
    <row r="89" spans="3:11">
      <c r="C89" s="31">
        <f>ROUND((TOMS_Capacity+TOMS_Attendence)*0.98,0)</f>
        <v>29</v>
      </c>
      <c r="D89" s="665">
        <f t="shared" ca="1" si="0"/>
        <v>1480.8510638297871</v>
      </c>
      <c r="E89" s="665"/>
      <c r="F89" s="4" t="e">
        <f t="shared" si="3"/>
        <v>#REF!</v>
      </c>
      <c r="G89" s="4" t="e">
        <f t="shared" ca="1" si="1"/>
        <v>#REF!</v>
      </c>
      <c r="H89" s="677" t="e">
        <f t="shared" ca="1" si="4"/>
        <v>#REF!</v>
      </c>
      <c r="I89" s="677"/>
      <c r="J89" s="37" t="e">
        <f t="shared" ca="1" si="2"/>
        <v>#REF!</v>
      </c>
      <c r="K89" s="37"/>
    </row>
    <row r="90" spans="3:11">
      <c r="C90" s="31">
        <f>ROUND((TOMS_Capacity+TOMS_Attendence)*1,0)</f>
        <v>30</v>
      </c>
      <c r="D90" s="665">
        <f t="shared" ca="1" si="0"/>
        <v>1531.9148936170213</v>
      </c>
      <c r="E90" s="665"/>
      <c r="F90" s="4" t="e">
        <f t="shared" si="3"/>
        <v>#REF!</v>
      </c>
      <c r="G90" s="4" t="e">
        <f t="shared" ca="1" si="1"/>
        <v>#REF!</v>
      </c>
      <c r="H90" s="677" t="e">
        <f t="shared" ca="1" si="4"/>
        <v>#REF!</v>
      </c>
      <c r="I90" s="677"/>
      <c r="J90" s="37" t="e">
        <f ca="1">D90-F90-G90</f>
        <v>#REF!</v>
      </c>
      <c r="K90" s="37"/>
    </row>
    <row r="91" spans="3:11">
      <c r="G91" s="1"/>
    </row>
    <row r="92" spans="3:11">
      <c r="G92" s="1"/>
    </row>
    <row r="93" spans="3:11">
      <c r="G93" s="1"/>
    </row>
    <row r="94" spans="3:11">
      <c r="G94" s="1"/>
    </row>
    <row r="95" spans="3:11">
      <c r="G95" s="1"/>
    </row>
    <row r="96" spans="3:11">
      <c r="G96" s="1"/>
    </row>
    <row r="97" spans="7:7">
      <c r="G97" s="1"/>
    </row>
    <row r="98" spans="7:7">
      <c r="G98" s="1"/>
    </row>
    <row r="99" spans="7:7">
      <c r="G99" s="1"/>
    </row>
    <row r="100" spans="7:7">
      <c r="G100" s="1"/>
    </row>
    <row r="101" spans="7:7">
      <c r="G101" s="1"/>
    </row>
    <row r="102" spans="7:7">
      <c r="G102" s="1"/>
    </row>
    <row r="103" spans="7:7">
      <c r="G103" s="1"/>
    </row>
    <row r="104" spans="7:7">
      <c r="G104" s="1"/>
    </row>
    <row r="105" spans="7:7">
      <c r="G105" s="1"/>
    </row>
    <row r="106" spans="7:7">
      <c r="G106" s="1"/>
    </row>
    <row r="107" spans="7:7">
      <c r="G107" s="1"/>
    </row>
    <row r="108" spans="7:7">
      <c r="G108" s="1"/>
    </row>
    <row r="109" spans="7:7">
      <c r="G109" s="1"/>
    </row>
    <row r="110" spans="7:7">
      <c r="G110" s="1"/>
    </row>
    <row r="111" spans="7:7">
      <c r="G111" s="1"/>
    </row>
    <row r="112" spans="7:7">
      <c r="G112" s="1"/>
    </row>
    <row r="113" spans="7:7">
      <c r="G113" s="1"/>
    </row>
    <row r="114" spans="7:7">
      <c r="G114" s="1"/>
    </row>
    <row r="115" spans="7:7">
      <c r="G115" s="1"/>
    </row>
    <row r="116" spans="7:7">
      <c r="G116" s="1"/>
    </row>
    <row r="117" spans="7:7">
      <c r="G117" s="1"/>
    </row>
    <row r="118" spans="7:7">
      <c r="G118" s="1"/>
    </row>
    <row r="119" spans="7:7">
      <c r="G119" s="1"/>
    </row>
    <row r="120" spans="7:7">
      <c r="G120" s="1"/>
    </row>
    <row r="121" spans="7:7">
      <c r="G121" s="1"/>
    </row>
    <row r="122" spans="7:7">
      <c r="G122" s="1"/>
    </row>
    <row r="123" spans="7:7">
      <c r="G123" s="1"/>
    </row>
    <row r="124" spans="7:7">
      <c r="G124" s="1"/>
    </row>
  </sheetData>
  <sheetProtection password="C887" sheet="1" objects="1" scenarios="1" selectLockedCells="1" selectUnlockedCells="1"/>
  <mergeCells count="135">
    <mergeCell ref="A1:K1"/>
    <mergeCell ref="C58:F58"/>
    <mergeCell ref="H63:I63"/>
    <mergeCell ref="H64:I64"/>
    <mergeCell ref="H65:I65"/>
    <mergeCell ref="C63:F63"/>
    <mergeCell ref="C64:F64"/>
    <mergeCell ref="H57:I57"/>
    <mergeCell ref="H58:I58"/>
    <mergeCell ref="H59:I59"/>
    <mergeCell ref="H60:I60"/>
    <mergeCell ref="C59:F59"/>
    <mergeCell ref="C60:F60"/>
    <mergeCell ref="C61:F61"/>
    <mergeCell ref="C62:F62"/>
    <mergeCell ref="H61:I61"/>
    <mergeCell ref="H62:I62"/>
    <mergeCell ref="B48:F48"/>
    <mergeCell ref="C53:F53"/>
    <mergeCell ref="C49:F49"/>
    <mergeCell ref="C50:F50"/>
    <mergeCell ref="C51:F51"/>
    <mergeCell ref="C52:F52"/>
    <mergeCell ref="J47:K47"/>
    <mergeCell ref="J74:K74"/>
    <mergeCell ref="H88:I88"/>
    <mergeCell ref="H89:I89"/>
    <mergeCell ref="H90:I90"/>
    <mergeCell ref="H79:I79"/>
    <mergeCell ref="H84:I84"/>
    <mergeCell ref="H85:I85"/>
    <mergeCell ref="H86:I86"/>
    <mergeCell ref="H87:I87"/>
    <mergeCell ref="H80:I80"/>
    <mergeCell ref="H81:I81"/>
    <mergeCell ref="H82:I82"/>
    <mergeCell ref="H83:I83"/>
    <mergeCell ref="J49:K49"/>
    <mergeCell ref="J50:K50"/>
    <mergeCell ref="J51:K51"/>
    <mergeCell ref="J54:K54"/>
    <mergeCell ref="J55:K55"/>
    <mergeCell ref="J52:K52"/>
    <mergeCell ref="J53:K53"/>
    <mergeCell ref="H51:I51"/>
    <mergeCell ref="H52:I52"/>
    <mergeCell ref="H35:I35"/>
    <mergeCell ref="H53:I53"/>
    <mergeCell ref="H41:I41"/>
    <mergeCell ref="H47:I47"/>
    <mergeCell ref="H38:I38"/>
    <mergeCell ref="H39:I39"/>
    <mergeCell ref="H36:I36"/>
    <mergeCell ref="H37:I37"/>
    <mergeCell ref="H40:I40"/>
    <mergeCell ref="H50:I50"/>
    <mergeCell ref="H48:I48"/>
    <mergeCell ref="H49:I49"/>
    <mergeCell ref="H27:I27"/>
    <mergeCell ref="J24:K24"/>
    <mergeCell ref="J23:K23"/>
    <mergeCell ref="J20:K20"/>
    <mergeCell ref="J21:K21"/>
    <mergeCell ref="J22:K22"/>
    <mergeCell ref="J25:K25"/>
    <mergeCell ref="H33:I33"/>
    <mergeCell ref="H34:I34"/>
    <mergeCell ref="C22:F22"/>
    <mergeCell ref="C23:F23"/>
    <mergeCell ref="H26:I26"/>
    <mergeCell ref="C18:F18"/>
    <mergeCell ref="H18:I18"/>
    <mergeCell ref="H21:I21"/>
    <mergeCell ref="H20:I20"/>
    <mergeCell ref="C24:F24"/>
    <mergeCell ref="H25:I25"/>
    <mergeCell ref="C26:F26"/>
    <mergeCell ref="H23:I23"/>
    <mergeCell ref="H24:I24"/>
    <mergeCell ref="H32:I32"/>
    <mergeCell ref="H31:I31"/>
    <mergeCell ref="H28:I28"/>
    <mergeCell ref="H29:I29"/>
    <mergeCell ref="H30:I30"/>
    <mergeCell ref="L3:M3"/>
    <mergeCell ref="D4:J4"/>
    <mergeCell ref="D15:E15"/>
    <mergeCell ref="H15:I15"/>
    <mergeCell ref="D8:J8"/>
    <mergeCell ref="J16:K16"/>
    <mergeCell ref="A16:F16"/>
    <mergeCell ref="H16:I16"/>
    <mergeCell ref="H17:I17"/>
    <mergeCell ref="J17:K17"/>
    <mergeCell ref="J18:K18"/>
    <mergeCell ref="D28:E28"/>
    <mergeCell ref="D29:E29"/>
    <mergeCell ref="B17:F17"/>
    <mergeCell ref="C19:F19"/>
    <mergeCell ref="C20:F20"/>
    <mergeCell ref="C21:F21"/>
    <mergeCell ref="C41:F41"/>
    <mergeCell ref="C39:F39"/>
    <mergeCell ref="C40:F40"/>
    <mergeCell ref="C33:F33"/>
    <mergeCell ref="D79:E79"/>
    <mergeCell ref="C65:F65"/>
    <mergeCell ref="D88:E88"/>
    <mergeCell ref="J19:K19"/>
    <mergeCell ref="J26:K26"/>
    <mergeCell ref="J27:K27"/>
    <mergeCell ref="J28:K28"/>
    <mergeCell ref="J29:K29"/>
    <mergeCell ref="C37:F37"/>
    <mergeCell ref="C38:F38"/>
    <mergeCell ref="C36:F36"/>
    <mergeCell ref="B31:F31"/>
    <mergeCell ref="C34:F34"/>
    <mergeCell ref="C35:F35"/>
    <mergeCell ref="D30:E30"/>
    <mergeCell ref="C32:F32"/>
    <mergeCell ref="H19:I19"/>
    <mergeCell ref="C27:F27"/>
    <mergeCell ref="C25:F25"/>
    <mergeCell ref="H22:I22"/>
    <mergeCell ref="D89:E89"/>
    <mergeCell ref="D90:E90"/>
    <mergeCell ref="D80:E80"/>
    <mergeCell ref="D81:E81"/>
    <mergeCell ref="D82:E82"/>
    <mergeCell ref="D83:E83"/>
    <mergeCell ref="D84:E84"/>
    <mergeCell ref="D85:E85"/>
    <mergeCell ref="D86:E86"/>
    <mergeCell ref="D87:E87"/>
  </mergeCells>
  <phoneticPr fontId="7" type="noConversion"/>
  <dataValidations count="2">
    <dataValidation type="list" allowBlank="1" showInputMessage="1" showErrorMessage="1" sqref="D49:E53">
      <formula1>"Inc,Ex"</formula1>
    </dataValidation>
    <dataValidation type="list" allowBlank="1" showInputMessage="1" showErrorMessage="1" sqref="F49:F53">
      <formula1>"Std, Zero"</formula1>
    </dataValidation>
  </dataValidations>
  <pageMargins left="0.75" right="0.75" top="1" bottom="1" header="0.5" footer="0.5"/>
  <pageSetup scale="44"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4"/>
  <dimension ref="A1:T251"/>
  <sheetViews>
    <sheetView workbookViewId="0"/>
  </sheetViews>
  <sheetFormatPr defaultRowHeight="12.75"/>
  <cols>
    <col min="1" max="1" width="18.85546875" bestFit="1" customWidth="1"/>
    <col min="2" max="2" width="27.5703125" style="2" customWidth="1"/>
    <col min="3" max="3" width="10.85546875" customWidth="1"/>
    <col min="5" max="5" width="4.5703125" customWidth="1"/>
    <col min="10" max="10" width="4.5703125" customWidth="1"/>
    <col min="11" max="11" width="4.5703125" style="33" customWidth="1"/>
    <col min="12" max="12" width="5.140625" customWidth="1"/>
    <col min="13" max="13" width="26" customWidth="1"/>
    <col min="17" max="17" width="16.85546875" customWidth="1"/>
    <col min="18" max="18" width="16.5703125" customWidth="1"/>
    <col min="19" max="19" width="17.5703125" bestFit="1" customWidth="1"/>
  </cols>
  <sheetData>
    <row r="1" spans="1:20">
      <c r="A1" t="s">
        <v>222</v>
      </c>
      <c r="C1" t="s">
        <v>336</v>
      </c>
      <c r="D1" s="679" t="s">
        <v>334</v>
      </c>
      <c r="E1" s="679"/>
      <c r="F1" s="679"/>
      <c r="G1" s="679" t="s">
        <v>335</v>
      </c>
      <c r="H1" s="679"/>
      <c r="I1" s="679"/>
      <c r="J1" t="s">
        <v>239</v>
      </c>
      <c r="K1" s="33">
        <v>1</v>
      </c>
      <c r="L1" t="s">
        <v>270</v>
      </c>
      <c r="M1" s="2" t="str">
        <f>B2</f>
        <v>Between 16th Nov &amp; 15th Feb</v>
      </c>
      <c r="N1">
        <v>2008</v>
      </c>
      <c r="O1">
        <v>0</v>
      </c>
      <c r="P1" t="s">
        <v>322</v>
      </c>
      <c r="Q1" t="s">
        <v>353</v>
      </c>
      <c r="R1" t="s">
        <v>361</v>
      </c>
      <c r="S1" t="s">
        <v>1024</v>
      </c>
      <c r="T1" t="s">
        <v>1034</v>
      </c>
    </row>
    <row r="2" spans="1:20">
      <c r="A2" t="s">
        <v>223</v>
      </c>
      <c r="B2" s="34" t="s">
        <v>229</v>
      </c>
      <c r="C2" s="35" t="s">
        <v>230</v>
      </c>
      <c r="D2" s="36" t="str">
        <f>J16</f>
        <v>16th</v>
      </c>
      <c r="E2" s="36">
        <f>VLOOKUP(D2,datenum,2,FALSE)</f>
        <v>16</v>
      </c>
      <c r="F2" s="35" t="str">
        <f>L11</f>
        <v>Nov</v>
      </c>
      <c r="G2" s="36" t="str">
        <f>J15</f>
        <v>15th</v>
      </c>
      <c r="H2" s="36">
        <f>VLOOKUP(G2,datenum,2,FALSE)</f>
        <v>15</v>
      </c>
      <c r="I2" s="35" t="str">
        <f>L2</f>
        <v>Feb</v>
      </c>
      <c r="J2" t="s">
        <v>240</v>
      </c>
      <c r="K2" s="33">
        <v>2</v>
      </c>
      <c r="L2" t="s">
        <v>271</v>
      </c>
      <c r="M2" s="2"/>
      <c r="N2">
        <v>2009</v>
      </c>
      <c r="O2">
        <v>1</v>
      </c>
      <c r="P2" t="s">
        <v>323</v>
      </c>
      <c r="Q2" t="s">
        <v>354</v>
      </c>
      <c r="R2" s="40">
        <v>0.4</v>
      </c>
      <c r="S2" s="40">
        <v>0.4</v>
      </c>
      <c r="T2" t="s">
        <v>377</v>
      </c>
    </row>
    <row r="3" spans="1:20">
      <c r="A3" t="s">
        <v>224</v>
      </c>
      <c r="B3" s="34" t="s">
        <v>227</v>
      </c>
      <c r="C3" s="35" t="s">
        <v>231</v>
      </c>
      <c r="D3" s="36" t="str">
        <f>J16</f>
        <v>16th</v>
      </c>
      <c r="E3" s="36">
        <f>VLOOKUP(D3,datenum,2,FALSE)</f>
        <v>16</v>
      </c>
      <c r="F3" s="35" t="str">
        <f>L2</f>
        <v>Feb</v>
      </c>
      <c r="G3" s="36" t="str">
        <f>J15</f>
        <v>15th</v>
      </c>
      <c r="H3" s="36">
        <f>VLOOKUP(G3,datenum,2,FALSE)</f>
        <v>15</v>
      </c>
      <c r="I3" s="35" t="str">
        <f>L5</f>
        <v>May</v>
      </c>
      <c r="J3" t="s">
        <v>241</v>
      </c>
      <c r="K3" s="33">
        <v>3</v>
      </c>
      <c r="L3" t="s">
        <v>272</v>
      </c>
      <c r="M3" s="2" t="str">
        <f>B3</f>
        <v>Between 16th Feb &amp; 15th May</v>
      </c>
      <c r="N3">
        <v>2010</v>
      </c>
      <c r="O3">
        <v>2</v>
      </c>
      <c r="Q3" t="s">
        <v>1031</v>
      </c>
      <c r="S3" s="40">
        <v>0.2</v>
      </c>
    </row>
    <row r="4" spans="1:20">
      <c r="A4" t="s">
        <v>225</v>
      </c>
      <c r="B4" s="34" t="s">
        <v>228</v>
      </c>
      <c r="C4" s="35" t="s">
        <v>232</v>
      </c>
      <c r="D4" s="36" t="s">
        <v>254</v>
      </c>
      <c r="E4" s="36">
        <f>VLOOKUP(D4,datenum,2,FALSE)</f>
        <v>16</v>
      </c>
      <c r="F4" s="35" t="str">
        <f>L5</f>
        <v>May</v>
      </c>
      <c r="G4" s="36" t="str">
        <f>J15</f>
        <v>15th</v>
      </c>
      <c r="H4" s="36">
        <f>VLOOKUP(G4,datenum,2,FALSE)</f>
        <v>15</v>
      </c>
      <c r="I4" s="35" t="str">
        <f>L11</f>
        <v>Nov</v>
      </c>
      <c r="J4" t="s">
        <v>242</v>
      </c>
      <c r="K4" s="33">
        <v>4</v>
      </c>
      <c r="L4" t="s">
        <v>273</v>
      </c>
      <c r="M4" s="2" t="str">
        <f>B3</f>
        <v>Between 16th Feb &amp; 15th May</v>
      </c>
      <c r="N4">
        <v>2011</v>
      </c>
      <c r="O4">
        <v>3</v>
      </c>
      <c r="S4" s="40">
        <v>0</v>
      </c>
    </row>
    <row r="5" spans="1:20">
      <c r="A5" t="s">
        <v>226</v>
      </c>
      <c r="J5" t="s">
        <v>243</v>
      </c>
      <c r="K5" s="33">
        <v>5</v>
      </c>
      <c r="L5" t="s">
        <v>274</v>
      </c>
      <c r="M5" s="2"/>
      <c r="N5">
        <v>2012</v>
      </c>
      <c r="O5">
        <v>4</v>
      </c>
    </row>
    <row r="6" spans="1:20">
      <c r="A6" s="39" t="s">
        <v>1134</v>
      </c>
      <c r="J6" t="s">
        <v>244</v>
      </c>
      <c r="K6" s="33">
        <v>6</v>
      </c>
      <c r="L6" t="s">
        <v>275</v>
      </c>
      <c r="M6" s="2" t="str">
        <f>B4</f>
        <v>Between 16th May &amp; 15th Nov</v>
      </c>
      <c r="N6">
        <v>2013</v>
      </c>
      <c r="O6">
        <v>5</v>
      </c>
    </row>
    <row r="7" spans="1:20">
      <c r="A7" t="s">
        <v>1021</v>
      </c>
      <c r="J7" t="s">
        <v>245</v>
      </c>
      <c r="K7" s="33">
        <v>7</v>
      </c>
      <c r="L7" t="s">
        <v>276</v>
      </c>
      <c r="M7" s="2" t="str">
        <f>B4</f>
        <v>Between 16th May &amp; 15th Nov</v>
      </c>
      <c r="N7">
        <v>2014</v>
      </c>
      <c r="O7">
        <v>6</v>
      </c>
    </row>
    <row r="8" spans="1:20">
      <c r="J8" t="s">
        <v>246</v>
      </c>
      <c r="K8" s="33">
        <v>8</v>
      </c>
      <c r="L8" t="s">
        <v>277</v>
      </c>
      <c r="M8" s="2" t="str">
        <f>B4</f>
        <v>Between 16th May &amp; 15th Nov</v>
      </c>
      <c r="N8">
        <v>2015</v>
      </c>
      <c r="O8">
        <v>7</v>
      </c>
    </row>
    <row r="9" spans="1:20">
      <c r="J9" t="s">
        <v>247</v>
      </c>
      <c r="K9" s="33">
        <v>9</v>
      </c>
      <c r="L9" t="s">
        <v>278</v>
      </c>
      <c r="M9" s="2" t="str">
        <f>B4</f>
        <v>Between 16th May &amp; 15th Nov</v>
      </c>
      <c r="N9">
        <v>2016</v>
      </c>
      <c r="O9">
        <v>8</v>
      </c>
    </row>
    <row r="10" spans="1:20">
      <c r="J10" t="s">
        <v>248</v>
      </c>
      <c r="K10" s="33">
        <v>10</v>
      </c>
      <c r="L10" t="s">
        <v>279</v>
      </c>
      <c r="M10" s="2" t="str">
        <f>B4</f>
        <v>Between 16th May &amp; 15th Nov</v>
      </c>
      <c r="N10">
        <v>2017</v>
      </c>
      <c r="O10">
        <v>9</v>
      </c>
    </row>
    <row r="11" spans="1:20">
      <c r="J11" t="s">
        <v>249</v>
      </c>
      <c r="K11" s="33">
        <v>11</v>
      </c>
      <c r="L11" t="s">
        <v>280</v>
      </c>
      <c r="M11" s="2"/>
      <c r="N11">
        <v>2018</v>
      </c>
      <c r="O11">
        <v>10</v>
      </c>
    </row>
    <row r="12" spans="1:20">
      <c r="J12" t="s">
        <v>250</v>
      </c>
      <c r="K12" s="33">
        <v>12</v>
      </c>
      <c r="L12" t="s">
        <v>281</v>
      </c>
      <c r="M12" s="2" t="str">
        <f>B2</f>
        <v>Between 16th Nov &amp; 15th Feb</v>
      </c>
      <c r="N12">
        <v>2019</v>
      </c>
      <c r="O12">
        <v>11</v>
      </c>
    </row>
    <row r="13" spans="1:20">
      <c r="J13" t="s">
        <v>251</v>
      </c>
      <c r="K13" s="33">
        <v>13</v>
      </c>
      <c r="N13">
        <v>2020</v>
      </c>
      <c r="O13">
        <v>12</v>
      </c>
    </row>
    <row r="14" spans="1:20">
      <c r="J14" t="s">
        <v>252</v>
      </c>
      <c r="K14" s="33">
        <v>14</v>
      </c>
      <c r="N14">
        <v>2021</v>
      </c>
      <c r="O14">
        <v>13</v>
      </c>
    </row>
    <row r="15" spans="1:20">
      <c r="J15" t="s">
        <v>253</v>
      </c>
      <c r="K15" s="33">
        <v>15</v>
      </c>
      <c r="N15">
        <v>2022</v>
      </c>
      <c r="O15">
        <v>14</v>
      </c>
    </row>
    <row r="16" spans="1:20">
      <c r="J16" t="s">
        <v>254</v>
      </c>
      <c r="K16" s="33">
        <v>16</v>
      </c>
      <c r="N16">
        <v>2023</v>
      </c>
      <c r="O16">
        <v>15</v>
      </c>
    </row>
    <row r="17" spans="10:15">
      <c r="J17" t="s">
        <v>255</v>
      </c>
      <c r="K17" s="33">
        <v>17</v>
      </c>
      <c r="N17">
        <v>2024</v>
      </c>
      <c r="O17">
        <v>16</v>
      </c>
    </row>
    <row r="18" spans="10:15">
      <c r="J18" t="s">
        <v>256</v>
      </c>
      <c r="K18" s="33">
        <v>18</v>
      </c>
      <c r="N18">
        <v>2025</v>
      </c>
      <c r="O18">
        <v>17</v>
      </c>
    </row>
    <row r="19" spans="10:15">
      <c r="J19" t="s">
        <v>257</v>
      </c>
      <c r="K19" s="33">
        <v>19</v>
      </c>
      <c r="N19">
        <v>2026</v>
      </c>
      <c r="O19">
        <v>18</v>
      </c>
    </row>
    <row r="20" spans="10:15">
      <c r="J20" t="s">
        <v>258</v>
      </c>
      <c r="K20" s="33">
        <v>20</v>
      </c>
      <c r="N20">
        <v>2027</v>
      </c>
      <c r="O20">
        <v>19</v>
      </c>
    </row>
    <row r="21" spans="10:15">
      <c r="J21" t="s">
        <v>259</v>
      </c>
      <c r="K21" s="33">
        <v>21</v>
      </c>
      <c r="N21">
        <v>2028</v>
      </c>
      <c r="O21">
        <v>20</v>
      </c>
    </row>
    <row r="22" spans="10:15">
      <c r="J22" t="s">
        <v>260</v>
      </c>
      <c r="K22" s="33">
        <v>22</v>
      </c>
      <c r="N22">
        <v>2029</v>
      </c>
      <c r="O22">
        <v>21</v>
      </c>
    </row>
    <row r="23" spans="10:15">
      <c r="J23" t="s">
        <v>261</v>
      </c>
      <c r="K23" s="33">
        <v>23</v>
      </c>
      <c r="N23">
        <v>2030</v>
      </c>
      <c r="O23">
        <v>22</v>
      </c>
    </row>
    <row r="24" spans="10:15">
      <c r="J24" t="s">
        <v>262</v>
      </c>
      <c r="K24" s="33">
        <v>24</v>
      </c>
      <c r="N24">
        <v>2031</v>
      </c>
      <c r="O24">
        <v>23</v>
      </c>
    </row>
    <row r="25" spans="10:15">
      <c r="J25" t="s">
        <v>263</v>
      </c>
      <c r="K25" s="33">
        <v>25</v>
      </c>
      <c r="N25">
        <v>2032</v>
      </c>
      <c r="O25">
        <v>24</v>
      </c>
    </row>
    <row r="26" spans="10:15">
      <c r="J26" t="s">
        <v>264</v>
      </c>
      <c r="K26" s="33">
        <v>26</v>
      </c>
      <c r="N26">
        <v>2033</v>
      </c>
      <c r="O26">
        <v>25</v>
      </c>
    </row>
    <row r="27" spans="10:15">
      <c r="J27" t="s">
        <v>265</v>
      </c>
      <c r="K27" s="33">
        <v>27</v>
      </c>
      <c r="N27">
        <v>2034</v>
      </c>
      <c r="O27">
        <v>26</v>
      </c>
    </row>
    <row r="28" spans="10:15">
      <c r="J28" t="s">
        <v>266</v>
      </c>
      <c r="K28" s="33">
        <v>28</v>
      </c>
      <c r="N28">
        <v>2035</v>
      </c>
      <c r="O28">
        <v>27</v>
      </c>
    </row>
    <row r="29" spans="10:15">
      <c r="J29" t="s">
        <v>267</v>
      </c>
      <c r="K29" s="33">
        <v>29</v>
      </c>
      <c r="N29">
        <v>2036</v>
      </c>
      <c r="O29">
        <v>28</v>
      </c>
    </row>
    <row r="30" spans="10:15">
      <c r="J30" t="s">
        <v>268</v>
      </c>
      <c r="K30" s="33">
        <v>30</v>
      </c>
      <c r="N30">
        <v>2037</v>
      </c>
      <c r="O30">
        <v>29</v>
      </c>
    </row>
    <row r="31" spans="10:15">
      <c r="J31" t="s">
        <v>269</v>
      </c>
      <c r="K31" s="33">
        <v>31</v>
      </c>
      <c r="N31">
        <v>2038</v>
      </c>
      <c r="O31">
        <v>30</v>
      </c>
    </row>
    <row r="32" spans="10:15">
      <c r="N32">
        <v>2039</v>
      </c>
      <c r="O32">
        <v>31</v>
      </c>
    </row>
    <row r="33" spans="10:15">
      <c r="J33" s="679">
        <f>VLOOKUP('Tour Application Form'!G18,datenum,2,FALSE)</f>
        <v>25</v>
      </c>
      <c r="K33" s="679"/>
      <c r="N33">
        <v>2040</v>
      </c>
      <c r="O33">
        <v>32</v>
      </c>
    </row>
    <row r="34" spans="10:15">
      <c r="N34">
        <v>2041</v>
      </c>
      <c r="O34">
        <v>33</v>
      </c>
    </row>
    <row r="35" spans="10:15">
      <c r="N35">
        <v>2042</v>
      </c>
      <c r="O35">
        <v>34</v>
      </c>
    </row>
    <row r="36" spans="10:15">
      <c r="N36">
        <v>2043</v>
      </c>
      <c r="O36">
        <v>35</v>
      </c>
    </row>
    <row r="37" spans="10:15">
      <c r="N37">
        <v>2044</v>
      </c>
      <c r="O37">
        <v>36</v>
      </c>
    </row>
    <row r="38" spans="10:15">
      <c r="N38">
        <v>2045</v>
      </c>
      <c r="O38">
        <v>37</v>
      </c>
    </row>
    <row r="39" spans="10:15">
      <c r="N39">
        <v>2046</v>
      </c>
      <c r="O39">
        <v>38</v>
      </c>
    </row>
    <row r="40" spans="10:15">
      <c r="N40">
        <v>2047</v>
      </c>
      <c r="O40">
        <v>39</v>
      </c>
    </row>
    <row r="41" spans="10:15">
      <c r="N41">
        <v>2048</v>
      </c>
      <c r="O41">
        <v>40</v>
      </c>
    </row>
    <row r="42" spans="10:15">
      <c r="N42">
        <v>2049</v>
      </c>
      <c r="O42">
        <v>41</v>
      </c>
    </row>
    <row r="43" spans="10:15">
      <c r="N43">
        <v>2050</v>
      </c>
      <c r="O43">
        <v>42</v>
      </c>
    </row>
    <row r="44" spans="10:15">
      <c r="O44">
        <v>43</v>
      </c>
    </row>
    <row r="45" spans="10:15">
      <c r="O45">
        <v>44</v>
      </c>
    </row>
    <row r="46" spans="10:15">
      <c r="O46">
        <v>45</v>
      </c>
    </row>
    <row r="47" spans="10:15">
      <c r="O47">
        <v>46</v>
      </c>
    </row>
    <row r="48" spans="10:15">
      <c r="O48">
        <v>47</v>
      </c>
    </row>
    <row r="49" spans="15:15">
      <c r="O49">
        <v>48</v>
      </c>
    </row>
    <row r="50" spans="15:15">
      <c r="O50">
        <v>49</v>
      </c>
    </row>
    <row r="51" spans="15:15">
      <c r="O51">
        <v>50</v>
      </c>
    </row>
    <row r="52" spans="15:15">
      <c r="O52">
        <v>51</v>
      </c>
    </row>
    <row r="53" spans="15:15">
      <c r="O53">
        <v>52</v>
      </c>
    </row>
    <row r="54" spans="15:15">
      <c r="O54">
        <v>53</v>
      </c>
    </row>
    <row r="55" spans="15:15">
      <c r="O55">
        <v>54</v>
      </c>
    </row>
    <row r="56" spans="15:15">
      <c r="O56">
        <v>55</v>
      </c>
    </row>
    <row r="57" spans="15:15">
      <c r="O57">
        <v>56</v>
      </c>
    </row>
    <row r="58" spans="15:15">
      <c r="O58">
        <v>57</v>
      </c>
    </row>
    <row r="59" spans="15:15">
      <c r="O59">
        <v>58</v>
      </c>
    </row>
    <row r="60" spans="15:15">
      <c r="O60">
        <v>59</v>
      </c>
    </row>
    <row r="61" spans="15:15">
      <c r="O61">
        <v>60</v>
      </c>
    </row>
    <row r="62" spans="15:15">
      <c r="O62">
        <v>61</v>
      </c>
    </row>
    <row r="63" spans="15:15">
      <c r="O63">
        <v>62</v>
      </c>
    </row>
    <row r="64" spans="15:15">
      <c r="O64">
        <v>63</v>
      </c>
    </row>
    <row r="65" spans="15:15">
      <c r="O65">
        <v>64</v>
      </c>
    </row>
    <row r="66" spans="15:15">
      <c r="O66">
        <v>65</v>
      </c>
    </row>
    <row r="67" spans="15:15">
      <c r="O67">
        <v>66</v>
      </c>
    </row>
    <row r="68" spans="15:15">
      <c r="O68">
        <v>67</v>
      </c>
    </row>
    <row r="69" spans="15:15">
      <c r="O69">
        <v>68</v>
      </c>
    </row>
    <row r="70" spans="15:15">
      <c r="O70">
        <v>69</v>
      </c>
    </row>
    <row r="71" spans="15:15">
      <c r="O71">
        <v>70</v>
      </c>
    </row>
    <row r="72" spans="15:15">
      <c r="O72">
        <v>71</v>
      </c>
    </row>
    <row r="73" spans="15:15">
      <c r="O73">
        <v>72</v>
      </c>
    </row>
    <row r="74" spans="15:15">
      <c r="O74">
        <v>73</v>
      </c>
    </row>
    <row r="75" spans="15:15">
      <c r="O75">
        <v>74</v>
      </c>
    </row>
    <row r="76" spans="15:15">
      <c r="O76">
        <v>75</v>
      </c>
    </row>
    <row r="77" spans="15:15">
      <c r="O77">
        <v>76</v>
      </c>
    </row>
    <row r="78" spans="15:15">
      <c r="O78">
        <v>77</v>
      </c>
    </row>
    <row r="79" spans="15:15">
      <c r="O79">
        <v>78</v>
      </c>
    </row>
    <row r="80" spans="15:15">
      <c r="O80">
        <v>79</v>
      </c>
    </row>
    <row r="81" spans="15:15">
      <c r="O81">
        <v>80</v>
      </c>
    </row>
    <row r="82" spans="15:15">
      <c r="O82">
        <v>81</v>
      </c>
    </row>
    <row r="83" spans="15:15">
      <c r="O83">
        <v>82</v>
      </c>
    </row>
    <row r="84" spans="15:15">
      <c r="O84">
        <v>83</v>
      </c>
    </row>
    <row r="85" spans="15:15">
      <c r="O85">
        <v>84</v>
      </c>
    </row>
    <row r="86" spans="15:15">
      <c r="O86">
        <v>85</v>
      </c>
    </row>
    <row r="87" spans="15:15">
      <c r="O87">
        <v>86</v>
      </c>
    </row>
    <row r="88" spans="15:15">
      <c r="O88">
        <v>87</v>
      </c>
    </row>
    <row r="89" spans="15:15">
      <c r="O89">
        <v>88</v>
      </c>
    </row>
    <row r="90" spans="15:15">
      <c r="O90">
        <v>89</v>
      </c>
    </row>
    <row r="91" spans="15:15">
      <c r="O91">
        <v>90</v>
      </c>
    </row>
    <row r="92" spans="15:15">
      <c r="O92">
        <v>91</v>
      </c>
    </row>
    <row r="93" spans="15:15">
      <c r="O93">
        <v>92</v>
      </c>
    </row>
    <row r="94" spans="15:15">
      <c r="O94">
        <v>93</v>
      </c>
    </row>
    <row r="95" spans="15:15">
      <c r="O95">
        <v>94</v>
      </c>
    </row>
    <row r="96" spans="15:15">
      <c r="O96">
        <v>95</v>
      </c>
    </row>
    <row r="97" spans="15:15">
      <c r="O97">
        <v>96</v>
      </c>
    </row>
    <row r="98" spans="15:15">
      <c r="O98">
        <v>97</v>
      </c>
    </row>
    <row r="99" spans="15:15">
      <c r="O99">
        <v>98</v>
      </c>
    </row>
    <row r="100" spans="15:15">
      <c r="O100">
        <v>99</v>
      </c>
    </row>
    <row r="101" spans="15:15">
      <c r="O101">
        <v>100</v>
      </c>
    </row>
    <row r="102" spans="15:15">
      <c r="O102">
        <v>101</v>
      </c>
    </row>
    <row r="103" spans="15:15">
      <c r="O103">
        <v>102</v>
      </c>
    </row>
    <row r="104" spans="15:15">
      <c r="O104">
        <v>103</v>
      </c>
    </row>
    <row r="105" spans="15:15">
      <c r="O105">
        <v>104</v>
      </c>
    </row>
    <row r="106" spans="15:15">
      <c r="O106">
        <v>105</v>
      </c>
    </row>
    <row r="107" spans="15:15">
      <c r="O107">
        <v>106</v>
      </c>
    </row>
    <row r="108" spans="15:15">
      <c r="O108">
        <v>107</v>
      </c>
    </row>
    <row r="109" spans="15:15">
      <c r="O109">
        <v>108</v>
      </c>
    </row>
    <row r="110" spans="15:15">
      <c r="O110">
        <v>109</v>
      </c>
    </row>
    <row r="111" spans="15:15">
      <c r="O111">
        <v>110</v>
      </c>
    </row>
    <row r="112" spans="15:15">
      <c r="O112">
        <v>111</v>
      </c>
    </row>
    <row r="113" spans="15:15">
      <c r="O113">
        <v>112</v>
      </c>
    </row>
    <row r="114" spans="15:15">
      <c r="O114">
        <v>113</v>
      </c>
    </row>
    <row r="115" spans="15:15">
      <c r="O115">
        <v>114</v>
      </c>
    </row>
    <row r="116" spans="15:15">
      <c r="O116">
        <v>115</v>
      </c>
    </row>
    <row r="117" spans="15:15">
      <c r="O117">
        <v>116</v>
      </c>
    </row>
    <row r="118" spans="15:15">
      <c r="O118">
        <v>117</v>
      </c>
    </row>
    <row r="119" spans="15:15">
      <c r="O119">
        <v>118</v>
      </c>
    </row>
    <row r="120" spans="15:15">
      <c r="O120">
        <v>119</v>
      </c>
    </row>
    <row r="121" spans="15:15">
      <c r="O121">
        <v>120</v>
      </c>
    </row>
    <row r="122" spans="15:15">
      <c r="O122">
        <v>121</v>
      </c>
    </row>
    <row r="123" spans="15:15">
      <c r="O123">
        <v>122</v>
      </c>
    </row>
    <row r="124" spans="15:15">
      <c r="O124">
        <v>123</v>
      </c>
    </row>
    <row r="125" spans="15:15">
      <c r="O125">
        <v>124</v>
      </c>
    </row>
    <row r="126" spans="15:15">
      <c r="O126">
        <v>125</v>
      </c>
    </row>
    <row r="127" spans="15:15">
      <c r="O127">
        <v>126</v>
      </c>
    </row>
    <row r="128" spans="15:15">
      <c r="O128">
        <v>127</v>
      </c>
    </row>
    <row r="129" spans="15:15">
      <c r="O129">
        <v>128</v>
      </c>
    </row>
    <row r="130" spans="15:15">
      <c r="O130">
        <v>129</v>
      </c>
    </row>
    <row r="131" spans="15:15">
      <c r="O131">
        <v>130</v>
      </c>
    </row>
    <row r="132" spans="15:15">
      <c r="O132">
        <v>131</v>
      </c>
    </row>
    <row r="133" spans="15:15">
      <c r="O133">
        <v>132</v>
      </c>
    </row>
    <row r="134" spans="15:15">
      <c r="O134">
        <v>133</v>
      </c>
    </row>
    <row r="135" spans="15:15">
      <c r="O135">
        <v>134</v>
      </c>
    </row>
    <row r="136" spans="15:15">
      <c r="O136">
        <v>135</v>
      </c>
    </row>
    <row r="137" spans="15:15">
      <c r="O137">
        <v>136</v>
      </c>
    </row>
    <row r="138" spans="15:15">
      <c r="O138">
        <v>137</v>
      </c>
    </row>
    <row r="139" spans="15:15">
      <c r="O139">
        <v>138</v>
      </c>
    </row>
    <row r="140" spans="15:15">
      <c r="O140">
        <v>139</v>
      </c>
    </row>
    <row r="141" spans="15:15">
      <c r="O141">
        <v>140</v>
      </c>
    </row>
    <row r="142" spans="15:15">
      <c r="O142">
        <v>141</v>
      </c>
    </row>
    <row r="143" spans="15:15">
      <c r="O143">
        <v>142</v>
      </c>
    </row>
    <row r="144" spans="15:15">
      <c r="O144">
        <v>143</v>
      </c>
    </row>
    <row r="145" spans="15:15">
      <c r="O145">
        <v>144</v>
      </c>
    </row>
    <row r="146" spans="15:15">
      <c r="O146">
        <v>145</v>
      </c>
    </row>
    <row r="147" spans="15:15">
      <c r="O147">
        <v>146</v>
      </c>
    </row>
    <row r="148" spans="15:15">
      <c r="O148">
        <v>147</v>
      </c>
    </row>
    <row r="149" spans="15:15">
      <c r="O149">
        <v>148</v>
      </c>
    </row>
    <row r="150" spans="15:15">
      <c r="O150">
        <v>149</v>
      </c>
    </row>
    <row r="151" spans="15:15">
      <c r="O151">
        <v>150</v>
      </c>
    </row>
    <row r="152" spans="15:15">
      <c r="O152">
        <v>151</v>
      </c>
    </row>
    <row r="153" spans="15:15">
      <c r="O153">
        <v>152</v>
      </c>
    </row>
    <row r="154" spans="15:15">
      <c r="O154">
        <v>153</v>
      </c>
    </row>
    <row r="155" spans="15:15">
      <c r="O155">
        <v>154</v>
      </c>
    </row>
    <row r="156" spans="15:15">
      <c r="O156">
        <v>155</v>
      </c>
    </row>
    <row r="157" spans="15:15">
      <c r="O157">
        <v>156</v>
      </c>
    </row>
    <row r="158" spans="15:15">
      <c r="O158">
        <v>157</v>
      </c>
    </row>
    <row r="159" spans="15:15">
      <c r="O159">
        <v>158</v>
      </c>
    </row>
    <row r="160" spans="15:15">
      <c r="O160">
        <v>159</v>
      </c>
    </row>
    <row r="161" spans="15:15">
      <c r="O161">
        <v>160</v>
      </c>
    </row>
    <row r="162" spans="15:15">
      <c r="O162">
        <v>161</v>
      </c>
    </row>
    <row r="163" spans="15:15">
      <c r="O163">
        <v>162</v>
      </c>
    </row>
    <row r="164" spans="15:15">
      <c r="O164">
        <v>163</v>
      </c>
    </row>
    <row r="165" spans="15:15">
      <c r="O165">
        <v>164</v>
      </c>
    </row>
    <row r="166" spans="15:15">
      <c r="O166">
        <v>165</v>
      </c>
    </row>
    <row r="167" spans="15:15">
      <c r="O167">
        <v>166</v>
      </c>
    </row>
    <row r="168" spans="15:15">
      <c r="O168">
        <v>167</v>
      </c>
    </row>
    <row r="169" spans="15:15">
      <c r="O169">
        <v>168</v>
      </c>
    </row>
    <row r="170" spans="15:15">
      <c r="O170">
        <v>169</v>
      </c>
    </row>
    <row r="171" spans="15:15">
      <c r="O171">
        <v>170</v>
      </c>
    </row>
    <row r="172" spans="15:15">
      <c r="O172">
        <v>171</v>
      </c>
    </row>
    <row r="173" spans="15:15">
      <c r="O173">
        <v>172</v>
      </c>
    </row>
    <row r="174" spans="15:15">
      <c r="O174">
        <v>173</v>
      </c>
    </row>
    <row r="175" spans="15:15">
      <c r="O175">
        <v>174</v>
      </c>
    </row>
    <row r="176" spans="15:15">
      <c r="O176">
        <v>175</v>
      </c>
    </row>
    <row r="177" spans="15:15">
      <c r="O177">
        <v>176</v>
      </c>
    </row>
    <row r="178" spans="15:15">
      <c r="O178">
        <v>177</v>
      </c>
    </row>
    <row r="179" spans="15:15">
      <c r="O179">
        <v>178</v>
      </c>
    </row>
    <row r="180" spans="15:15">
      <c r="O180">
        <v>179</v>
      </c>
    </row>
    <row r="181" spans="15:15">
      <c r="O181">
        <v>180</v>
      </c>
    </row>
    <row r="182" spans="15:15">
      <c r="O182">
        <v>181</v>
      </c>
    </row>
    <row r="183" spans="15:15">
      <c r="O183">
        <v>182</v>
      </c>
    </row>
    <row r="184" spans="15:15">
      <c r="O184">
        <v>183</v>
      </c>
    </row>
    <row r="185" spans="15:15">
      <c r="O185">
        <v>184</v>
      </c>
    </row>
    <row r="186" spans="15:15">
      <c r="O186">
        <v>185</v>
      </c>
    </row>
    <row r="187" spans="15:15">
      <c r="O187">
        <v>186</v>
      </c>
    </row>
    <row r="188" spans="15:15">
      <c r="O188">
        <v>187</v>
      </c>
    </row>
    <row r="189" spans="15:15">
      <c r="O189">
        <v>188</v>
      </c>
    </row>
    <row r="190" spans="15:15">
      <c r="O190">
        <v>189</v>
      </c>
    </row>
    <row r="191" spans="15:15">
      <c r="O191">
        <v>190</v>
      </c>
    </row>
    <row r="192" spans="15:15">
      <c r="O192">
        <v>191</v>
      </c>
    </row>
    <row r="193" spans="15:15">
      <c r="O193">
        <v>192</v>
      </c>
    </row>
    <row r="194" spans="15:15">
      <c r="O194">
        <v>193</v>
      </c>
    </row>
    <row r="195" spans="15:15">
      <c r="O195">
        <v>194</v>
      </c>
    </row>
    <row r="196" spans="15:15">
      <c r="O196">
        <v>195</v>
      </c>
    </row>
    <row r="197" spans="15:15">
      <c r="O197">
        <v>196</v>
      </c>
    </row>
    <row r="198" spans="15:15">
      <c r="O198">
        <v>197</v>
      </c>
    </row>
    <row r="199" spans="15:15">
      <c r="O199">
        <v>198</v>
      </c>
    </row>
    <row r="200" spans="15:15">
      <c r="O200">
        <v>199</v>
      </c>
    </row>
    <row r="201" spans="15:15">
      <c r="O201">
        <v>200</v>
      </c>
    </row>
    <row r="202" spans="15:15">
      <c r="O202">
        <v>201</v>
      </c>
    </row>
    <row r="203" spans="15:15">
      <c r="O203">
        <v>202</v>
      </c>
    </row>
    <row r="204" spans="15:15">
      <c r="O204">
        <v>203</v>
      </c>
    </row>
    <row r="205" spans="15:15">
      <c r="O205">
        <v>204</v>
      </c>
    </row>
    <row r="206" spans="15:15">
      <c r="O206">
        <v>205</v>
      </c>
    </row>
    <row r="207" spans="15:15">
      <c r="O207">
        <v>206</v>
      </c>
    </row>
    <row r="208" spans="15:15">
      <c r="O208">
        <v>207</v>
      </c>
    </row>
    <row r="209" spans="15:15">
      <c r="O209">
        <v>208</v>
      </c>
    </row>
    <row r="210" spans="15:15">
      <c r="O210">
        <v>209</v>
      </c>
    </row>
    <row r="211" spans="15:15">
      <c r="O211">
        <v>210</v>
      </c>
    </row>
    <row r="212" spans="15:15">
      <c r="O212">
        <v>211</v>
      </c>
    </row>
    <row r="213" spans="15:15">
      <c r="O213">
        <v>212</v>
      </c>
    </row>
    <row r="214" spans="15:15">
      <c r="O214">
        <v>213</v>
      </c>
    </row>
    <row r="215" spans="15:15">
      <c r="O215">
        <v>214</v>
      </c>
    </row>
    <row r="216" spans="15:15">
      <c r="O216">
        <v>215</v>
      </c>
    </row>
    <row r="217" spans="15:15">
      <c r="O217">
        <v>216</v>
      </c>
    </row>
    <row r="218" spans="15:15">
      <c r="O218">
        <v>217</v>
      </c>
    </row>
    <row r="219" spans="15:15">
      <c r="O219">
        <v>218</v>
      </c>
    </row>
    <row r="220" spans="15:15">
      <c r="O220">
        <v>219</v>
      </c>
    </row>
    <row r="221" spans="15:15">
      <c r="O221">
        <v>220</v>
      </c>
    </row>
    <row r="222" spans="15:15">
      <c r="O222">
        <v>221</v>
      </c>
    </row>
    <row r="223" spans="15:15">
      <c r="O223">
        <v>222</v>
      </c>
    </row>
    <row r="224" spans="15:15">
      <c r="O224">
        <v>223</v>
      </c>
    </row>
    <row r="225" spans="15:15">
      <c r="O225">
        <v>224</v>
      </c>
    </row>
    <row r="226" spans="15:15">
      <c r="O226">
        <v>225</v>
      </c>
    </row>
    <row r="227" spans="15:15">
      <c r="O227">
        <v>226</v>
      </c>
    </row>
    <row r="228" spans="15:15">
      <c r="O228">
        <v>227</v>
      </c>
    </row>
    <row r="229" spans="15:15">
      <c r="O229">
        <v>228</v>
      </c>
    </row>
    <row r="230" spans="15:15">
      <c r="O230">
        <v>229</v>
      </c>
    </row>
    <row r="231" spans="15:15">
      <c r="O231">
        <v>230</v>
      </c>
    </row>
    <row r="232" spans="15:15">
      <c r="O232">
        <v>231</v>
      </c>
    </row>
    <row r="233" spans="15:15">
      <c r="O233">
        <v>232</v>
      </c>
    </row>
    <row r="234" spans="15:15">
      <c r="O234">
        <v>233</v>
      </c>
    </row>
    <row r="235" spans="15:15">
      <c r="O235">
        <v>234</v>
      </c>
    </row>
    <row r="236" spans="15:15">
      <c r="O236">
        <v>235</v>
      </c>
    </row>
    <row r="237" spans="15:15">
      <c r="O237">
        <v>236</v>
      </c>
    </row>
    <row r="238" spans="15:15">
      <c r="O238">
        <v>237</v>
      </c>
    </row>
    <row r="239" spans="15:15">
      <c r="O239">
        <v>238</v>
      </c>
    </row>
    <row r="240" spans="15:15">
      <c r="O240">
        <v>239</v>
      </c>
    </row>
    <row r="241" spans="15:15">
      <c r="O241">
        <v>240</v>
      </c>
    </row>
    <row r="242" spans="15:15">
      <c r="O242">
        <v>241</v>
      </c>
    </row>
    <row r="243" spans="15:15">
      <c r="O243">
        <v>242</v>
      </c>
    </row>
    <row r="244" spans="15:15">
      <c r="O244">
        <v>243</v>
      </c>
    </row>
    <row r="245" spans="15:15">
      <c r="O245">
        <v>244</v>
      </c>
    </row>
    <row r="246" spans="15:15">
      <c r="O246">
        <v>245</v>
      </c>
    </row>
    <row r="247" spans="15:15">
      <c r="O247">
        <v>246</v>
      </c>
    </row>
    <row r="248" spans="15:15">
      <c r="O248">
        <v>247</v>
      </c>
    </row>
    <row r="249" spans="15:15">
      <c r="O249">
        <v>248</v>
      </c>
    </row>
    <row r="250" spans="15:15">
      <c r="O250">
        <v>249</v>
      </c>
    </row>
    <row r="251" spans="15:15">
      <c r="O251">
        <v>250</v>
      </c>
    </row>
  </sheetData>
  <sheetProtection password="C887" sheet="1" selectLockedCells="1"/>
  <mergeCells count="3">
    <mergeCell ref="J33:K33"/>
    <mergeCell ref="D1:F1"/>
    <mergeCell ref="G1:I1"/>
  </mergeCells>
  <phoneticPr fontId="7" type="noConversion"/>
  <dataValidations count="2">
    <dataValidation type="list" showInputMessage="1" showErrorMessage="1" sqref="D2:D4 G2:G4">
      <formula1>days</formula1>
    </dataValidation>
    <dataValidation type="list" showInputMessage="1" showErrorMessage="1" sqref="F2:F4 I2:I4">
      <formula1>months</formula1>
    </dataValidation>
  </dataValidation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5"/>
  <dimension ref="A1:X426"/>
  <sheetViews>
    <sheetView workbookViewId="0">
      <pane ySplit="1" topLeftCell="A2" activePane="bottomLeft" state="frozen"/>
      <selection activeCell="C1" sqref="C1"/>
      <selection pane="bottomLeft"/>
    </sheetView>
  </sheetViews>
  <sheetFormatPr defaultRowHeight="12.75"/>
  <cols>
    <col min="1" max="1" width="6.42578125" style="170" bestFit="1" customWidth="1"/>
    <col min="2" max="2" width="27.42578125" style="170" bestFit="1" customWidth="1"/>
    <col min="3" max="3" width="40.5703125" style="170" bestFit="1" customWidth="1"/>
    <col min="4" max="4" width="12.42578125" style="170" bestFit="1" customWidth="1"/>
    <col min="5" max="5" width="10.140625" style="170" bestFit="1" customWidth="1"/>
    <col min="6" max="6" width="11.28515625" style="170" bestFit="1" customWidth="1"/>
    <col min="7" max="7" width="9.28515625" style="170" bestFit="1" customWidth="1"/>
    <col min="8" max="8" width="9.7109375" style="170" bestFit="1" customWidth="1"/>
    <col min="9" max="9" width="8.28515625" style="170" bestFit="1" customWidth="1"/>
    <col min="10" max="10" width="9.140625" style="170"/>
    <col min="11" max="11" width="8.140625" style="170" bestFit="1" customWidth="1"/>
    <col min="12" max="12" width="10.7109375" style="170" bestFit="1" customWidth="1"/>
    <col min="13" max="13" width="9.140625" style="170"/>
    <col min="14" max="15" width="16" style="170" bestFit="1" customWidth="1"/>
    <col min="16" max="16" width="4" style="170" bestFit="1" customWidth="1"/>
    <col min="17" max="18" width="22" style="170" bestFit="1" customWidth="1"/>
    <col min="19" max="19" width="4" style="170" bestFit="1" customWidth="1"/>
    <col min="20" max="20" width="18.5703125" style="170" bestFit="1" customWidth="1"/>
    <col min="21" max="21" width="8.42578125" style="170" bestFit="1" customWidth="1"/>
    <col min="22" max="22" width="7.140625" style="170" bestFit="1" customWidth="1"/>
    <col min="23" max="23" width="10.42578125" style="170" customWidth="1"/>
    <col min="24" max="24" width="12.85546875" style="170" bestFit="1" customWidth="1"/>
    <col min="25" max="16384" width="9.140625" style="170"/>
  </cols>
  <sheetData>
    <row r="1" spans="1:24">
      <c r="A1" s="240" t="s">
        <v>398</v>
      </c>
      <c r="B1" s="240" t="s">
        <v>399</v>
      </c>
      <c r="C1" s="240" t="s">
        <v>400</v>
      </c>
      <c r="D1" s="240" t="s">
        <v>401</v>
      </c>
      <c r="E1" s="240" t="s">
        <v>16</v>
      </c>
      <c r="F1" s="241" t="s">
        <v>14</v>
      </c>
      <c r="G1" s="241" t="s">
        <v>105</v>
      </c>
      <c r="H1" s="241" t="s">
        <v>15</v>
      </c>
      <c r="I1" s="241" t="s">
        <v>402</v>
      </c>
      <c r="J1" s="241"/>
      <c r="K1" s="242" t="s">
        <v>212</v>
      </c>
      <c r="L1" s="242" t="s">
        <v>403</v>
      </c>
      <c r="O1" s="101" t="s">
        <v>305</v>
      </c>
      <c r="R1" s="101" t="s">
        <v>297</v>
      </c>
      <c r="T1" s="170" t="s">
        <v>318</v>
      </c>
      <c r="U1" s="170" t="s">
        <v>1009</v>
      </c>
      <c r="V1" s="170" t="s">
        <v>1017</v>
      </c>
      <c r="X1" s="170" t="s">
        <v>1025</v>
      </c>
    </row>
    <row r="2" spans="1:24">
      <c r="A2" s="243" t="s">
        <v>17</v>
      </c>
      <c r="B2" s="243" t="s">
        <v>18</v>
      </c>
      <c r="C2" s="244" t="s">
        <v>18</v>
      </c>
      <c r="D2" s="245" t="b">
        <v>0</v>
      </c>
      <c r="E2" s="245" t="b">
        <v>0</v>
      </c>
      <c r="F2" s="246" t="b">
        <v>1</v>
      </c>
      <c r="G2" s="246" t="b">
        <v>0</v>
      </c>
      <c r="H2" s="246" t="b">
        <v>0</v>
      </c>
      <c r="I2" s="246" t="b">
        <v>0</v>
      </c>
      <c r="J2" s="247"/>
      <c r="K2" s="170" t="s">
        <v>1035</v>
      </c>
      <c r="L2" s="170" t="s">
        <v>1036</v>
      </c>
      <c r="P2" s="101"/>
      <c r="Q2" s="101"/>
      <c r="S2" s="101"/>
    </row>
    <row r="3" spans="1:24">
      <c r="A3" s="243" t="s">
        <v>19</v>
      </c>
      <c r="B3" s="243" t="s">
        <v>18</v>
      </c>
      <c r="C3" s="244" t="s">
        <v>404</v>
      </c>
      <c r="D3" s="245" t="b">
        <v>1</v>
      </c>
      <c r="E3" s="245" t="b">
        <v>1</v>
      </c>
      <c r="F3" s="246" t="b">
        <v>0</v>
      </c>
      <c r="G3" s="246" t="b">
        <v>0</v>
      </c>
      <c r="H3" s="246" t="b">
        <v>0</v>
      </c>
      <c r="I3" s="246" t="b">
        <v>0</v>
      </c>
      <c r="J3" s="247"/>
      <c r="L3" s="170" t="s">
        <v>1037</v>
      </c>
      <c r="O3" s="248" t="s">
        <v>936</v>
      </c>
      <c r="P3" s="248" t="s">
        <v>150</v>
      </c>
      <c r="Q3" s="101"/>
      <c r="R3" s="248" t="s">
        <v>937</v>
      </c>
      <c r="S3" s="248" t="s">
        <v>618</v>
      </c>
      <c r="T3" s="249" t="s">
        <v>996</v>
      </c>
      <c r="U3" s="250" t="s">
        <v>1141</v>
      </c>
      <c r="V3" s="251" t="s">
        <v>322</v>
      </c>
      <c r="X3" s="252" t="s">
        <v>1142</v>
      </c>
    </row>
    <row r="4" spans="1:24">
      <c r="A4" s="243" t="s">
        <v>20</v>
      </c>
      <c r="B4" s="243" t="s">
        <v>18</v>
      </c>
      <c r="C4" s="244" t="s">
        <v>722</v>
      </c>
      <c r="D4" s="245" t="b">
        <v>1</v>
      </c>
      <c r="E4" s="245" t="b">
        <v>1</v>
      </c>
      <c r="F4" s="246" t="b">
        <v>0</v>
      </c>
      <c r="G4" s="246" t="b">
        <v>0</v>
      </c>
      <c r="H4" s="246" t="b">
        <v>0</v>
      </c>
      <c r="I4" s="246" t="b">
        <v>0</v>
      </c>
      <c r="J4" s="247"/>
      <c r="O4" s="248" t="s">
        <v>938</v>
      </c>
      <c r="P4" s="248" t="s">
        <v>151</v>
      </c>
      <c r="Q4" s="101"/>
      <c r="R4" s="248" t="s">
        <v>939</v>
      </c>
      <c r="S4" s="248" t="s">
        <v>138</v>
      </c>
      <c r="T4" s="249" t="s">
        <v>998</v>
      </c>
      <c r="U4" s="249" t="s">
        <v>1140</v>
      </c>
      <c r="V4" s="251" t="s">
        <v>323</v>
      </c>
      <c r="X4" s="252" t="s">
        <v>1143</v>
      </c>
    </row>
    <row r="5" spans="1:24">
      <c r="A5" s="243" t="s">
        <v>21</v>
      </c>
      <c r="B5" s="243" t="s">
        <v>18</v>
      </c>
      <c r="C5" s="244" t="s">
        <v>405</v>
      </c>
      <c r="D5" s="245" t="b">
        <v>1</v>
      </c>
      <c r="E5" s="245" t="b">
        <v>1</v>
      </c>
      <c r="F5" s="246" t="b">
        <v>0</v>
      </c>
      <c r="G5" s="246" t="b">
        <v>0</v>
      </c>
      <c r="H5" s="246" t="b">
        <v>0</v>
      </c>
      <c r="I5" s="246" t="b">
        <v>0</v>
      </c>
      <c r="J5" s="247"/>
      <c r="O5" s="248" t="s">
        <v>940</v>
      </c>
      <c r="P5" s="248" t="s">
        <v>941</v>
      </c>
      <c r="Q5" s="101"/>
      <c r="R5" s="248" t="s">
        <v>942</v>
      </c>
      <c r="S5" s="248" t="s">
        <v>140</v>
      </c>
      <c r="U5" s="253" t="s">
        <v>1010</v>
      </c>
      <c r="X5" s="252" t="s">
        <v>1027</v>
      </c>
    </row>
    <row r="6" spans="1:24">
      <c r="A6" s="243" t="s">
        <v>22</v>
      </c>
      <c r="B6" s="243" t="s">
        <v>18</v>
      </c>
      <c r="C6" s="244" t="s">
        <v>406</v>
      </c>
      <c r="D6" s="245" t="b">
        <v>1</v>
      </c>
      <c r="E6" s="245" t="b">
        <v>1</v>
      </c>
      <c r="F6" s="246" t="b">
        <v>0</v>
      </c>
      <c r="G6" s="246" t="b">
        <v>0</v>
      </c>
      <c r="H6" s="246" t="b">
        <v>0</v>
      </c>
      <c r="I6" s="246" t="b">
        <v>0</v>
      </c>
      <c r="J6" s="247"/>
      <c r="O6" s="248" t="s">
        <v>943</v>
      </c>
      <c r="P6" s="248" t="s">
        <v>944</v>
      </c>
      <c r="Q6" s="101"/>
      <c r="R6" s="248" t="s">
        <v>945</v>
      </c>
      <c r="S6" s="248" t="s">
        <v>645</v>
      </c>
      <c r="X6" s="254"/>
    </row>
    <row r="7" spans="1:24">
      <c r="A7" s="243" t="s">
        <v>23</v>
      </c>
      <c r="B7" s="243" t="s">
        <v>18</v>
      </c>
      <c r="C7" s="244" t="s">
        <v>407</v>
      </c>
      <c r="D7" s="245" t="b">
        <v>1</v>
      </c>
      <c r="E7" s="245" t="b">
        <v>1</v>
      </c>
      <c r="F7" s="246" t="b">
        <v>0</v>
      </c>
      <c r="G7" s="246" t="b">
        <v>0</v>
      </c>
      <c r="H7" s="246" t="b">
        <v>0</v>
      </c>
      <c r="I7" s="246" t="b">
        <v>0</v>
      </c>
      <c r="J7" s="247"/>
      <c r="O7" s="248" t="s">
        <v>946</v>
      </c>
      <c r="P7" s="248" t="s">
        <v>947</v>
      </c>
      <c r="Q7" s="101"/>
      <c r="R7" s="248" t="s">
        <v>948</v>
      </c>
      <c r="S7" s="248" t="s">
        <v>650</v>
      </c>
      <c r="T7" s="249" t="s">
        <v>1020</v>
      </c>
      <c r="V7" s="249" t="b">
        <f>VLOOKUP('Tour Application Form'!H7,clubdetails,5,FALSE)</f>
        <v>0</v>
      </c>
      <c r="X7" s="101"/>
    </row>
    <row r="8" spans="1:24">
      <c r="A8" s="243" t="s">
        <v>24</v>
      </c>
      <c r="B8" s="243" t="s">
        <v>18</v>
      </c>
      <c r="C8" s="244" t="s">
        <v>408</v>
      </c>
      <c r="D8" s="245" t="b">
        <v>1</v>
      </c>
      <c r="E8" s="245" t="b">
        <v>1</v>
      </c>
      <c r="F8" s="246" t="b">
        <v>0</v>
      </c>
      <c r="G8" s="246" t="b">
        <v>0</v>
      </c>
      <c r="H8" s="246" t="b">
        <v>0</v>
      </c>
      <c r="I8" s="246" t="b">
        <v>0</v>
      </c>
      <c r="J8" s="247"/>
      <c r="O8" s="248" t="s">
        <v>949</v>
      </c>
      <c r="P8" s="248" t="s">
        <v>103</v>
      </c>
      <c r="Q8" s="101"/>
      <c r="R8" s="248" t="s">
        <v>950</v>
      </c>
      <c r="S8" s="248" t="s">
        <v>663</v>
      </c>
    </row>
    <row r="9" spans="1:24">
      <c r="A9" s="243" t="s">
        <v>25</v>
      </c>
      <c r="B9" s="243" t="s">
        <v>18</v>
      </c>
      <c r="C9" s="244" t="s">
        <v>409</v>
      </c>
      <c r="D9" s="245" t="b">
        <v>1</v>
      </c>
      <c r="E9" s="245" t="b">
        <v>1</v>
      </c>
      <c r="F9" s="246" t="b">
        <v>0</v>
      </c>
      <c r="G9" s="246" t="b">
        <v>0</v>
      </c>
      <c r="H9" s="246" t="b">
        <v>0</v>
      </c>
      <c r="I9" s="246" t="b">
        <v>0</v>
      </c>
      <c r="J9" s="247"/>
      <c r="O9" s="248" t="s">
        <v>951</v>
      </c>
      <c r="P9" s="248" t="s">
        <v>952</v>
      </c>
      <c r="Q9" s="101"/>
      <c r="R9" s="248" t="s">
        <v>1022</v>
      </c>
      <c r="S9" s="255" t="s">
        <v>1023</v>
      </c>
    </row>
    <row r="10" spans="1:24">
      <c r="A10" s="243" t="s">
        <v>26</v>
      </c>
      <c r="B10" s="243" t="s">
        <v>18</v>
      </c>
      <c r="C10" s="244" t="s">
        <v>410</v>
      </c>
      <c r="D10" s="245" t="b">
        <v>1</v>
      </c>
      <c r="E10" s="245" t="b">
        <v>1</v>
      </c>
      <c r="F10" s="246" t="b">
        <v>0</v>
      </c>
      <c r="G10" s="246" t="b">
        <v>0</v>
      </c>
      <c r="H10" s="246" t="b">
        <v>0</v>
      </c>
      <c r="I10" s="246" t="b">
        <v>0</v>
      </c>
      <c r="J10" s="247"/>
      <c r="O10" s="248" t="s">
        <v>954</v>
      </c>
      <c r="P10" s="248" t="s">
        <v>106</v>
      </c>
      <c r="Q10" s="101"/>
      <c r="R10" s="248" t="s">
        <v>953</v>
      </c>
      <c r="S10" s="248" t="s">
        <v>691</v>
      </c>
    </row>
    <row r="11" spans="1:24">
      <c r="A11" s="243" t="s">
        <v>27</v>
      </c>
      <c r="B11" s="243" t="s">
        <v>18</v>
      </c>
      <c r="C11" s="244" t="s">
        <v>411</v>
      </c>
      <c r="D11" s="245" t="b">
        <v>1</v>
      </c>
      <c r="E11" s="245" t="b">
        <v>1</v>
      </c>
      <c r="F11" s="246" t="b">
        <v>0</v>
      </c>
      <c r="G11" s="246" t="b">
        <v>0</v>
      </c>
      <c r="H11" s="246" t="b">
        <v>0</v>
      </c>
      <c r="I11" s="246" t="b">
        <v>0</v>
      </c>
      <c r="J11" s="247"/>
      <c r="O11" s="248" t="s">
        <v>957</v>
      </c>
      <c r="P11" s="248" t="s">
        <v>958</v>
      </c>
      <c r="Q11" s="101"/>
      <c r="R11" s="248" t="s">
        <v>955</v>
      </c>
      <c r="S11" s="248" t="s">
        <v>956</v>
      </c>
    </row>
    <row r="12" spans="1:24">
      <c r="A12" s="243" t="s">
        <v>28</v>
      </c>
      <c r="B12" s="243" t="s">
        <v>18</v>
      </c>
      <c r="C12" s="244" t="s">
        <v>412</v>
      </c>
      <c r="D12" s="245" t="b">
        <v>1</v>
      </c>
      <c r="E12" s="245" t="b">
        <v>1</v>
      </c>
      <c r="F12" s="246" t="b">
        <v>0</v>
      </c>
      <c r="G12" s="246" t="b">
        <v>0</v>
      </c>
      <c r="H12" s="246" t="b">
        <v>0</v>
      </c>
      <c r="I12" s="246" t="b">
        <v>0</v>
      </c>
      <c r="J12" s="247"/>
      <c r="O12" s="248" t="s">
        <v>961</v>
      </c>
      <c r="P12" s="248" t="s">
        <v>181</v>
      </c>
      <c r="Q12" s="101"/>
      <c r="R12" s="248" t="s">
        <v>959</v>
      </c>
      <c r="S12" s="248" t="s">
        <v>960</v>
      </c>
    </row>
    <row r="13" spans="1:24">
      <c r="A13" s="243" t="s">
        <v>199</v>
      </c>
      <c r="B13" s="243" t="s">
        <v>18</v>
      </c>
      <c r="C13" s="244" t="s">
        <v>413</v>
      </c>
      <c r="D13" s="245" t="b">
        <v>1</v>
      </c>
      <c r="E13" s="245" t="b">
        <v>1</v>
      </c>
      <c r="F13" s="246" t="b">
        <v>0</v>
      </c>
      <c r="G13" s="246" t="b">
        <v>0</v>
      </c>
      <c r="H13" s="246" t="b">
        <v>0</v>
      </c>
      <c r="I13" s="246" t="b">
        <v>0</v>
      </c>
      <c r="J13" s="247"/>
      <c r="O13" s="248" t="s">
        <v>963</v>
      </c>
      <c r="P13" s="248" t="s">
        <v>186</v>
      </c>
      <c r="Q13" s="101"/>
      <c r="R13" s="248" t="s">
        <v>962</v>
      </c>
      <c r="S13" s="248" t="s">
        <v>825</v>
      </c>
    </row>
    <row r="14" spans="1:24">
      <c r="A14" s="243" t="s">
        <v>29</v>
      </c>
      <c r="B14" s="243" t="s">
        <v>18</v>
      </c>
      <c r="C14" s="244" t="s">
        <v>414</v>
      </c>
      <c r="D14" s="245" t="b">
        <v>1</v>
      </c>
      <c r="E14" s="245" t="b">
        <v>1</v>
      </c>
      <c r="F14" s="246" t="b">
        <v>0</v>
      </c>
      <c r="G14" s="246" t="b">
        <v>0</v>
      </c>
      <c r="H14" s="246" t="b">
        <v>0</v>
      </c>
      <c r="I14" s="246" t="b">
        <v>0</v>
      </c>
      <c r="J14" s="247"/>
      <c r="O14" s="248" t="s">
        <v>353</v>
      </c>
      <c r="P14" s="248" t="s">
        <v>188</v>
      </c>
      <c r="Q14" s="101"/>
      <c r="R14" s="248" t="s">
        <v>964</v>
      </c>
      <c r="S14" s="248" t="s">
        <v>965</v>
      </c>
    </row>
    <row r="15" spans="1:24">
      <c r="A15" s="243" t="s">
        <v>30</v>
      </c>
      <c r="B15" s="243" t="s">
        <v>18</v>
      </c>
      <c r="C15" s="244" t="s">
        <v>723</v>
      </c>
      <c r="D15" s="245" t="b">
        <v>1</v>
      </c>
      <c r="E15" s="245" t="b">
        <v>1</v>
      </c>
      <c r="F15" s="246" t="b">
        <v>0</v>
      </c>
      <c r="G15" s="246" t="b">
        <v>0</v>
      </c>
      <c r="H15" s="246" t="b">
        <v>0</v>
      </c>
      <c r="I15" s="246" t="b">
        <v>0</v>
      </c>
      <c r="J15" s="247"/>
      <c r="O15" s="101"/>
      <c r="P15" s="101"/>
      <c r="Q15" s="101"/>
      <c r="R15" s="248" t="s">
        <v>966</v>
      </c>
      <c r="S15" s="248" t="s">
        <v>967</v>
      </c>
    </row>
    <row r="16" spans="1:24">
      <c r="A16" s="243" t="s">
        <v>31</v>
      </c>
      <c r="B16" s="243" t="s">
        <v>18</v>
      </c>
      <c r="C16" s="244" t="s">
        <v>415</v>
      </c>
      <c r="D16" s="245" t="b">
        <v>1</v>
      </c>
      <c r="E16" s="245" t="b">
        <v>1</v>
      </c>
      <c r="F16" s="246" t="b">
        <v>0</v>
      </c>
      <c r="G16" s="246" t="b">
        <v>0</v>
      </c>
      <c r="H16" s="246" t="b">
        <v>0</v>
      </c>
      <c r="I16" s="246" t="b">
        <v>0</v>
      </c>
      <c r="J16" s="247"/>
      <c r="O16" s="101"/>
      <c r="P16" s="101"/>
      <c r="Q16" s="101"/>
      <c r="R16" s="248" t="s">
        <v>968</v>
      </c>
      <c r="S16" s="248" t="s">
        <v>839</v>
      </c>
    </row>
    <row r="17" spans="1:19">
      <c r="A17" s="243" t="s">
        <v>32</v>
      </c>
      <c r="B17" s="243" t="s">
        <v>18</v>
      </c>
      <c r="C17" s="244" t="s">
        <v>416</v>
      </c>
      <c r="D17" s="245" t="b">
        <v>1</v>
      </c>
      <c r="E17" s="245" t="b">
        <v>1</v>
      </c>
      <c r="F17" s="246" t="b">
        <v>0</v>
      </c>
      <c r="G17" s="246" t="b">
        <v>0</v>
      </c>
      <c r="H17" s="246" t="b">
        <v>0</v>
      </c>
      <c r="I17" s="246" t="b">
        <v>0</v>
      </c>
      <c r="J17" s="247"/>
      <c r="O17" s="101"/>
      <c r="P17" s="101"/>
      <c r="Q17" s="101"/>
      <c r="R17" s="248" t="s">
        <v>969</v>
      </c>
      <c r="S17" s="248" t="s">
        <v>970</v>
      </c>
    </row>
    <row r="18" spans="1:19">
      <c r="A18" s="243" t="s">
        <v>33</v>
      </c>
      <c r="B18" s="243" t="s">
        <v>18</v>
      </c>
      <c r="C18" s="244" t="s">
        <v>417</v>
      </c>
      <c r="D18" s="245" t="b">
        <v>1</v>
      </c>
      <c r="E18" s="245" t="b">
        <v>1</v>
      </c>
      <c r="F18" s="246" t="b">
        <v>0</v>
      </c>
      <c r="G18" s="246" t="b">
        <v>0</v>
      </c>
      <c r="H18" s="246" t="b">
        <v>0</v>
      </c>
      <c r="I18" s="246" t="b">
        <v>0</v>
      </c>
      <c r="J18" s="247"/>
      <c r="O18" s="101"/>
      <c r="P18" s="101"/>
      <c r="Q18" s="101"/>
      <c r="R18" s="248" t="s">
        <v>971</v>
      </c>
      <c r="S18" s="248" t="s">
        <v>972</v>
      </c>
    </row>
    <row r="19" spans="1:19">
      <c r="A19" s="243" t="s">
        <v>34</v>
      </c>
      <c r="B19" s="243" t="s">
        <v>18</v>
      </c>
      <c r="C19" s="244" t="s">
        <v>418</v>
      </c>
      <c r="D19" s="245" t="b">
        <v>1</v>
      </c>
      <c r="E19" s="245" t="b">
        <v>1</v>
      </c>
      <c r="F19" s="246" t="b">
        <v>0</v>
      </c>
      <c r="G19" s="246" t="b">
        <v>0</v>
      </c>
      <c r="H19" s="246" t="b">
        <v>0</v>
      </c>
      <c r="I19" s="246" t="b">
        <v>0</v>
      </c>
      <c r="J19" s="247"/>
      <c r="O19" s="101"/>
      <c r="P19" s="101"/>
      <c r="Q19" s="101"/>
      <c r="R19" s="248" t="s">
        <v>973</v>
      </c>
      <c r="S19" s="248" t="s">
        <v>696</v>
      </c>
    </row>
    <row r="20" spans="1:19">
      <c r="A20" s="243" t="s">
        <v>35</v>
      </c>
      <c r="B20" s="243" t="s">
        <v>18</v>
      </c>
      <c r="C20" s="244" t="s">
        <v>419</v>
      </c>
      <c r="D20" s="245" t="b">
        <v>1</v>
      </c>
      <c r="E20" s="245" t="b">
        <v>1</v>
      </c>
      <c r="F20" s="246" t="b">
        <v>0</v>
      </c>
      <c r="G20" s="246" t="b">
        <v>0</v>
      </c>
      <c r="H20" s="246" t="b">
        <v>0</v>
      </c>
      <c r="I20" s="246" t="b">
        <v>0</v>
      </c>
      <c r="J20" s="247"/>
      <c r="O20" s="101"/>
      <c r="P20" s="101"/>
      <c r="Q20" s="101"/>
      <c r="R20" s="248" t="s">
        <v>974</v>
      </c>
      <c r="S20" s="248" t="s">
        <v>975</v>
      </c>
    </row>
    <row r="21" spans="1:19">
      <c r="A21" s="243" t="s">
        <v>36</v>
      </c>
      <c r="B21" s="243" t="s">
        <v>18</v>
      </c>
      <c r="C21" s="244" t="s">
        <v>420</v>
      </c>
      <c r="D21" s="245" t="b">
        <v>1</v>
      </c>
      <c r="E21" s="245" t="b">
        <v>1</v>
      </c>
      <c r="F21" s="246" t="b">
        <v>0</v>
      </c>
      <c r="G21" s="246" t="b">
        <v>0</v>
      </c>
      <c r="H21" s="246" t="b">
        <v>0</v>
      </c>
      <c r="I21" s="246" t="b">
        <v>0</v>
      </c>
      <c r="J21" s="247"/>
      <c r="O21" s="101"/>
      <c r="P21" s="101"/>
      <c r="Q21" s="101"/>
      <c r="R21" s="248" t="s">
        <v>976</v>
      </c>
      <c r="S21" s="248" t="s">
        <v>977</v>
      </c>
    </row>
    <row r="22" spans="1:19">
      <c r="A22" s="243" t="s">
        <v>37</v>
      </c>
      <c r="B22" s="243" t="s">
        <v>18</v>
      </c>
      <c r="C22" s="244" t="s">
        <v>421</v>
      </c>
      <c r="D22" s="245" t="b">
        <v>1</v>
      </c>
      <c r="E22" s="245" t="b">
        <v>1</v>
      </c>
      <c r="F22" s="246" t="b">
        <v>0</v>
      </c>
      <c r="G22" s="246" t="b">
        <v>0</v>
      </c>
      <c r="H22" s="246" t="b">
        <v>0</v>
      </c>
      <c r="I22" s="246" t="b">
        <v>0</v>
      </c>
      <c r="J22" s="247"/>
      <c r="O22" s="101"/>
      <c r="P22" s="101"/>
      <c r="Q22" s="101"/>
      <c r="R22" s="248" t="s">
        <v>978</v>
      </c>
      <c r="S22" s="248" t="s">
        <v>979</v>
      </c>
    </row>
    <row r="23" spans="1:19">
      <c r="A23" s="243" t="s">
        <v>38</v>
      </c>
      <c r="B23" s="243" t="s">
        <v>18</v>
      </c>
      <c r="C23" s="244" t="s">
        <v>422</v>
      </c>
      <c r="D23" s="245" t="b">
        <v>1</v>
      </c>
      <c r="E23" s="245" t="b">
        <v>1</v>
      </c>
      <c r="F23" s="246" t="b">
        <v>0</v>
      </c>
      <c r="G23" s="246" t="b">
        <v>0</v>
      </c>
      <c r="H23" s="246" t="b">
        <v>0</v>
      </c>
      <c r="I23" s="246" t="b">
        <v>0</v>
      </c>
      <c r="J23" s="247"/>
      <c r="O23" s="101"/>
      <c r="P23" s="101"/>
      <c r="Q23" s="101"/>
      <c r="R23" s="248" t="s">
        <v>980</v>
      </c>
      <c r="S23" s="248" t="s">
        <v>981</v>
      </c>
    </row>
    <row r="24" spans="1:19">
      <c r="A24" s="243" t="s">
        <v>39</v>
      </c>
      <c r="B24" s="243" t="s">
        <v>18</v>
      </c>
      <c r="C24" s="244" t="s">
        <v>724</v>
      </c>
      <c r="D24" s="245" t="b">
        <v>1</v>
      </c>
      <c r="E24" s="245" t="b">
        <v>1</v>
      </c>
      <c r="F24" s="246" t="b">
        <v>0</v>
      </c>
      <c r="G24" s="246" t="b">
        <v>0</v>
      </c>
      <c r="H24" s="246" t="b">
        <v>0</v>
      </c>
      <c r="I24" s="246" t="b">
        <v>0</v>
      </c>
      <c r="J24" s="247"/>
      <c r="O24" s="101"/>
      <c r="P24" s="101"/>
      <c r="Q24" s="101"/>
      <c r="R24" s="248" t="s">
        <v>982</v>
      </c>
      <c r="S24" s="248" t="s">
        <v>855</v>
      </c>
    </row>
    <row r="25" spans="1:19">
      <c r="A25" s="243" t="s">
        <v>40</v>
      </c>
      <c r="B25" s="243" t="s">
        <v>18</v>
      </c>
      <c r="C25" s="244" t="s">
        <v>423</v>
      </c>
      <c r="D25" s="245" t="b">
        <v>1</v>
      </c>
      <c r="E25" s="245" t="b">
        <v>1</v>
      </c>
      <c r="F25" s="246" t="b">
        <v>0</v>
      </c>
      <c r="G25" s="246" t="b">
        <v>0</v>
      </c>
      <c r="H25" s="246" t="b">
        <v>0</v>
      </c>
      <c r="I25" s="246" t="b">
        <v>0</v>
      </c>
      <c r="J25" s="247"/>
      <c r="O25" s="101"/>
      <c r="P25" s="101"/>
      <c r="Q25" s="101"/>
      <c r="R25" s="248" t="s">
        <v>983</v>
      </c>
      <c r="S25" s="248" t="s">
        <v>861</v>
      </c>
    </row>
    <row r="26" spans="1:19">
      <c r="A26" s="243" t="s">
        <v>41</v>
      </c>
      <c r="B26" s="243" t="s">
        <v>18</v>
      </c>
      <c r="C26" s="244" t="s">
        <v>424</v>
      </c>
      <c r="D26" s="245" t="b">
        <v>1</v>
      </c>
      <c r="E26" s="245" t="b">
        <v>1</v>
      </c>
      <c r="F26" s="246" t="b">
        <v>0</v>
      </c>
      <c r="G26" s="246" t="b">
        <v>0</v>
      </c>
      <c r="H26" s="246" t="b">
        <v>0</v>
      </c>
      <c r="I26" s="246" t="b">
        <v>0</v>
      </c>
      <c r="J26" s="247"/>
      <c r="O26" s="101"/>
      <c r="P26" s="101"/>
      <c r="Q26" s="101"/>
      <c r="R26" s="248" t="s">
        <v>984</v>
      </c>
      <c r="S26" s="248" t="s">
        <v>985</v>
      </c>
    </row>
    <row r="27" spans="1:19">
      <c r="A27" s="243" t="s">
        <v>42</v>
      </c>
      <c r="B27" s="243" t="s">
        <v>18</v>
      </c>
      <c r="C27" s="244" t="s">
        <v>725</v>
      </c>
      <c r="D27" s="245" t="b">
        <v>1</v>
      </c>
      <c r="E27" s="245" t="b">
        <v>1</v>
      </c>
      <c r="F27" s="246" t="b">
        <v>0</v>
      </c>
      <c r="G27" s="246" t="b">
        <v>0</v>
      </c>
      <c r="H27" s="246" t="b">
        <v>0</v>
      </c>
      <c r="I27" s="246" t="b">
        <v>0</v>
      </c>
      <c r="J27" s="247"/>
      <c r="O27" s="101"/>
      <c r="P27" s="101"/>
      <c r="Q27" s="101"/>
      <c r="R27" s="248" t="s">
        <v>986</v>
      </c>
      <c r="S27" s="248" t="s">
        <v>987</v>
      </c>
    </row>
    <row r="28" spans="1:19">
      <c r="A28" s="243" t="s">
        <v>43</v>
      </c>
      <c r="B28" s="243" t="s">
        <v>18</v>
      </c>
      <c r="C28" s="244" t="s">
        <v>425</v>
      </c>
      <c r="D28" s="245" t="b">
        <v>1</v>
      </c>
      <c r="E28" s="245" t="b">
        <v>1</v>
      </c>
      <c r="F28" s="246" t="b">
        <v>0</v>
      </c>
      <c r="G28" s="246" t="b">
        <v>0</v>
      </c>
      <c r="H28" s="246" t="b">
        <v>0</v>
      </c>
      <c r="I28" s="246" t="b">
        <v>0</v>
      </c>
      <c r="J28" s="247"/>
      <c r="O28" s="101"/>
      <c r="P28" s="101"/>
      <c r="Q28" s="101"/>
      <c r="R28" s="248" t="s">
        <v>988</v>
      </c>
      <c r="S28" s="248" t="s">
        <v>989</v>
      </c>
    </row>
    <row r="29" spans="1:19">
      <c r="A29" s="243" t="s">
        <v>44</v>
      </c>
      <c r="B29" s="243" t="s">
        <v>18</v>
      </c>
      <c r="C29" s="244" t="s">
        <v>726</v>
      </c>
      <c r="D29" s="245" t="b">
        <v>1</v>
      </c>
      <c r="E29" s="245" t="b">
        <v>1</v>
      </c>
      <c r="F29" s="246" t="b">
        <v>0</v>
      </c>
      <c r="G29" s="246" t="b">
        <v>0</v>
      </c>
      <c r="H29" s="246" t="b">
        <v>0</v>
      </c>
      <c r="I29" s="246" t="b">
        <v>0</v>
      </c>
      <c r="J29" s="247"/>
      <c r="O29" s="101"/>
      <c r="P29" s="101"/>
      <c r="Q29" s="101"/>
      <c r="R29" s="248" t="s">
        <v>990</v>
      </c>
      <c r="S29" s="248" t="s">
        <v>991</v>
      </c>
    </row>
    <row r="30" spans="1:19">
      <c r="A30" s="243" t="s">
        <v>45</v>
      </c>
      <c r="B30" s="243" t="s">
        <v>18</v>
      </c>
      <c r="C30" s="244" t="s">
        <v>426</v>
      </c>
      <c r="D30" s="245" t="b">
        <v>1</v>
      </c>
      <c r="E30" s="245" t="b">
        <v>1</v>
      </c>
      <c r="F30" s="246" t="b">
        <v>0</v>
      </c>
      <c r="G30" s="246" t="b">
        <v>0</v>
      </c>
      <c r="H30" s="246" t="b">
        <v>0</v>
      </c>
      <c r="I30" s="246" t="b">
        <v>0</v>
      </c>
      <c r="J30" s="247"/>
      <c r="R30" s="248" t="s">
        <v>353</v>
      </c>
      <c r="S30" s="248" t="s">
        <v>992</v>
      </c>
    </row>
    <row r="31" spans="1:19">
      <c r="A31" s="243" t="s">
        <v>46</v>
      </c>
      <c r="B31" s="243" t="s">
        <v>18</v>
      </c>
      <c r="C31" s="244" t="s">
        <v>427</v>
      </c>
      <c r="D31" s="245" t="b">
        <v>1</v>
      </c>
      <c r="E31" s="245" t="b">
        <v>1</v>
      </c>
      <c r="F31" s="246" t="b">
        <v>0</v>
      </c>
      <c r="G31" s="246" t="b">
        <v>0</v>
      </c>
      <c r="H31" s="246" t="b">
        <v>0</v>
      </c>
      <c r="I31" s="246" t="b">
        <v>0</v>
      </c>
      <c r="J31" s="247"/>
    </row>
    <row r="32" spans="1:19">
      <c r="A32" s="243" t="s">
        <v>47</v>
      </c>
      <c r="B32" s="243" t="s">
        <v>18</v>
      </c>
      <c r="C32" s="244" t="s">
        <v>428</v>
      </c>
      <c r="D32" s="245" t="b">
        <v>1</v>
      </c>
      <c r="E32" s="245" t="b">
        <v>1</v>
      </c>
      <c r="F32" s="246" t="b">
        <v>0</v>
      </c>
      <c r="G32" s="246" t="b">
        <v>0</v>
      </c>
      <c r="H32" s="246" t="b">
        <v>0</v>
      </c>
      <c r="I32" s="246" t="b">
        <v>0</v>
      </c>
      <c r="J32" s="247"/>
    </row>
    <row r="33" spans="1:10">
      <c r="A33" s="243" t="s">
        <v>48</v>
      </c>
      <c r="B33" s="243" t="s">
        <v>18</v>
      </c>
      <c r="C33" s="244" t="s">
        <v>429</v>
      </c>
      <c r="D33" s="245" t="b">
        <v>1</v>
      </c>
      <c r="E33" s="245" t="b">
        <v>1</v>
      </c>
      <c r="F33" s="246" t="b">
        <v>0</v>
      </c>
      <c r="G33" s="246" t="b">
        <v>0</v>
      </c>
      <c r="H33" s="246" t="b">
        <v>0</v>
      </c>
      <c r="I33" s="246" t="b">
        <v>0</v>
      </c>
      <c r="J33" s="247"/>
    </row>
    <row r="34" spans="1:10">
      <c r="A34" s="243" t="s">
        <v>49</v>
      </c>
      <c r="B34" s="243" t="s">
        <v>18</v>
      </c>
      <c r="C34" s="244" t="s">
        <v>430</v>
      </c>
      <c r="D34" s="245" t="b">
        <v>1</v>
      </c>
      <c r="E34" s="245" t="b">
        <v>1</v>
      </c>
      <c r="F34" s="246" t="b">
        <v>0</v>
      </c>
      <c r="G34" s="246" t="b">
        <v>0</v>
      </c>
      <c r="H34" s="246" t="b">
        <v>0</v>
      </c>
      <c r="I34" s="246" t="b">
        <v>0</v>
      </c>
      <c r="J34" s="247"/>
    </row>
    <row r="35" spans="1:10">
      <c r="A35" s="243" t="s">
        <v>50</v>
      </c>
      <c r="B35" s="243" t="s">
        <v>18</v>
      </c>
      <c r="C35" s="244" t="s">
        <v>431</v>
      </c>
      <c r="D35" s="245" t="b">
        <v>1</v>
      </c>
      <c r="E35" s="245" t="b">
        <v>0</v>
      </c>
      <c r="F35" s="246" t="b">
        <v>0</v>
      </c>
      <c r="G35" s="246" t="b">
        <v>0</v>
      </c>
      <c r="H35" s="246" t="b">
        <v>0</v>
      </c>
      <c r="I35" s="246" t="b">
        <v>0</v>
      </c>
      <c r="J35" s="247"/>
    </row>
    <row r="36" spans="1:10">
      <c r="A36" s="243" t="s">
        <v>51</v>
      </c>
      <c r="B36" s="243" t="s">
        <v>18</v>
      </c>
      <c r="C36" s="244" t="s">
        <v>432</v>
      </c>
      <c r="D36" s="245" t="b">
        <v>1</v>
      </c>
      <c r="E36" s="245" t="b">
        <v>1</v>
      </c>
      <c r="F36" s="246" t="b">
        <v>0</v>
      </c>
      <c r="G36" s="246" t="b">
        <v>0</v>
      </c>
      <c r="H36" s="246" t="b">
        <v>0</v>
      </c>
      <c r="I36" s="246" t="b">
        <v>0</v>
      </c>
      <c r="J36" s="247"/>
    </row>
    <row r="37" spans="1:10">
      <c r="A37" s="243" t="s">
        <v>52</v>
      </c>
      <c r="B37" s="243" t="s">
        <v>18</v>
      </c>
      <c r="C37" s="244" t="s">
        <v>433</v>
      </c>
      <c r="D37" s="245" t="b">
        <v>1</v>
      </c>
      <c r="E37" s="245" t="b">
        <v>1</v>
      </c>
      <c r="F37" s="246" t="b">
        <v>0</v>
      </c>
      <c r="G37" s="246" t="b">
        <v>0</v>
      </c>
      <c r="H37" s="246" t="b">
        <v>0</v>
      </c>
      <c r="I37" s="246" t="b">
        <v>0</v>
      </c>
      <c r="J37" s="247"/>
    </row>
    <row r="38" spans="1:10">
      <c r="A38" s="243" t="s">
        <v>53</v>
      </c>
      <c r="B38" s="243" t="s">
        <v>18</v>
      </c>
      <c r="C38" s="244" t="s">
        <v>727</v>
      </c>
      <c r="D38" s="245" t="b">
        <v>1</v>
      </c>
      <c r="E38" s="245" t="b">
        <v>1</v>
      </c>
      <c r="F38" s="246" t="b">
        <v>0</v>
      </c>
      <c r="G38" s="246" t="b">
        <v>0</v>
      </c>
      <c r="H38" s="246" t="b">
        <v>0</v>
      </c>
      <c r="I38" s="246" t="b">
        <v>0</v>
      </c>
      <c r="J38" s="247"/>
    </row>
    <row r="39" spans="1:10">
      <c r="A39" s="243" t="s">
        <v>54</v>
      </c>
      <c r="B39" s="243" t="s">
        <v>18</v>
      </c>
      <c r="C39" s="244" t="s">
        <v>434</v>
      </c>
      <c r="D39" s="245" t="b">
        <v>1</v>
      </c>
      <c r="E39" s="245" t="b">
        <v>1</v>
      </c>
      <c r="F39" s="246" t="b">
        <v>0</v>
      </c>
      <c r="G39" s="246" t="b">
        <v>0</v>
      </c>
      <c r="H39" s="246" t="b">
        <v>0</v>
      </c>
      <c r="I39" s="246" t="b">
        <v>0</v>
      </c>
      <c r="J39" s="247"/>
    </row>
    <row r="40" spans="1:10">
      <c r="A40" s="243" t="s">
        <v>55</v>
      </c>
      <c r="B40" s="243" t="s">
        <v>18</v>
      </c>
      <c r="C40" s="244" t="s">
        <v>728</v>
      </c>
      <c r="D40" s="245" t="b">
        <v>0</v>
      </c>
      <c r="E40" s="245" t="b">
        <v>0</v>
      </c>
      <c r="F40" s="246" t="b">
        <v>0</v>
      </c>
      <c r="G40" s="246" t="b">
        <v>0</v>
      </c>
      <c r="H40" s="246" t="b">
        <v>0</v>
      </c>
      <c r="I40" s="246" t="b">
        <v>0</v>
      </c>
      <c r="J40" s="247"/>
    </row>
    <row r="41" spans="1:10">
      <c r="A41" s="243" t="s">
        <v>56</v>
      </c>
      <c r="B41" s="243" t="s">
        <v>18</v>
      </c>
      <c r="C41" s="244" t="s">
        <v>729</v>
      </c>
      <c r="D41" s="245" t="b">
        <v>1</v>
      </c>
      <c r="E41" s="245" t="b">
        <v>1</v>
      </c>
      <c r="F41" s="246" t="b">
        <v>0</v>
      </c>
      <c r="G41" s="246" t="b">
        <v>0</v>
      </c>
      <c r="H41" s="246" t="b">
        <v>0</v>
      </c>
      <c r="I41" s="246" t="b">
        <v>0</v>
      </c>
      <c r="J41" s="247"/>
    </row>
    <row r="42" spans="1:10">
      <c r="A42" s="243" t="s">
        <v>57</v>
      </c>
      <c r="B42" s="243" t="s">
        <v>18</v>
      </c>
      <c r="C42" s="244" t="s">
        <v>435</v>
      </c>
      <c r="D42" s="245" t="b">
        <v>1</v>
      </c>
      <c r="E42" s="245" t="b">
        <v>1</v>
      </c>
      <c r="F42" s="246" t="b">
        <v>0</v>
      </c>
      <c r="G42" s="246" t="b">
        <v>0</v>
      </c>
      <c r="H42" s="246" t="b">
        <v>0</v>
      </c>
      <c r="I42" s="246" t="b">
        <v>0</v>
      </c>
      <c r="J42" s="247"/>
    </row>
    <row r="43" spans="1:10">
      <c r="A43" s="243" t="s">
        <v>200</v>
      </c>
      <c r="B43" s="243" t="s">
        <v>18</v>
      </c>
      <c r="C43" s="244" t="s">
        <v>436</v>
      </c>
      <c r="D43" s="245" t="b">
        <v>1</v>
      </c>
      <c r="E43" s="245" t="b">
        <v>1</v>
      </c>
      <c r="F43" s="246" t="b">
        <v>0</v>
      </c>
      <c r="G43" s="246" t="b">
        <v>0</v>
      </c>
      <c r="H43" s="246" t="b">
        <v>0</v>
      </c>
      <c r="I43" s="246" t="b">
        <v>0</v>
      </c>
      <c r="J43" s="247"/>
    </row>
    <row r="44" spans="1:10">
      <c r="A44" s="243" t="s">
        <v>0</v>
      </c>
      <c r="B44" s="243" t="s">
        <v>18</v>
      </c>
      <c r="C44" s="244" t="s">
        <v>437</v>
      </c>
      <c r="D44" s="245" t="b">
        <v>1</v>
      </c>
      <c r="E44" s="245" t="b">
        <v>1</v>
      </c>
      <c r="F44" s="246" t="b">
        <v>0</v>
      </c>
      <c r="G44" s="246" t="b">
        <v>0</v>
      </c>
      <c r="H44" s="246" t="b">
        <v>0</v>
      </c>
      <c r="I44" s="246" t="b">
        <v>0</v>
      </c>
      <c r="J44" s="247"/>
    </row>
    <row r="45" spans="1:10">
      <c r="A45" s="243" t="s">
        <v>1</v>
      </c>
      <c r="B45" s="243" t="s">
        <v>18</v>
      </c>
      <c r="C45" s="244" t="s">
        <v>438</v>
      </c>
      <c r="D45" s="245" t="b">
        <v>1</v>
      </c>
      <c r="E45" s="245" t="b">
        <v>1</v>
      </c>
      <c r="F45" s="246" t="b">
        <v>0</v>
      </c>
      <c r="G45" s="246" t="b">
        <v>0</v>
      </c>
      <c r="H45" s="246" t="b">
        <v>0</v>
      </c>
      <c r="I45" s="246" t="b">
        <v>0</v>
      </c>
      <c r="J45" s="247"/>
    </row>
    <row r="46" spans="1:10">
      <c r="A46" s="243" t="s">
        <v>439</v>
      </c>
      <c r="B46" s="243" t="s">
        <v>18</v>
      </c>
      <c r="C46" s="244" t="s">
        <v>440</v>
      </c>
      <c r="D46" s="245" t="b">
        <v>1</v>
      </c>
      <c r="E46" s="245" t="b">
        <v>1</v>
      </c>
      <c r="F46" s="246" t="b">
        <v>0</v>
      </c>
      <c r="G46" s="246" t="b">
        <v>0</v>
      </c>
      <c r="H46" s="246" t="b">
        <v>0</v>
      </c>
      <c r="I46" s="246" t="b">
        <v>0</v>
      </c>
      <c r="J46" s="247"/>
    </row>
    <row r="47" spans="1:10">
      <c r="A47" s="243" t="s">
        <v>730</v>
      </c>
      <c r="B47" s="243" t="s">
        <v>18</v>
      </c>
      <c r="C47" s="244" t="s">
        <v>731</v>
      </c>
      <c r="D47" s="245" t="b">
        <v>0</v>
      </c>
      <c r="E47" s="245" t="b">
        <v>0</v>
      </c>
      <c r="F47" s="246" t="b">
        <v>0</v>
      </c>
      <c r="G47" s="246" t="b">
        <v>0</v>
      </c>
      <c r="H47" s="246" t="b">
        <v>0</v>
      </c>
      <c r="I47" s="246" t="b">
        <v>0</v>
      </c>
      <c r="J47" s="247"/>
    </row>
    <row r="48" spans="1:10">
      <c r="A48" s="243" t="s">
        <v>441</v>
      </c>
      <c r="B48" s="243" t="s">
        <v>18</v>
      </c>
      <c r="C48" s="244" t="s">
        <v>442</v>
      </c>
      <c r="D48" s="245" t="b">
        <v>1</v>
      </c>
      <c r="E48" s="245" t="b">
        <v>1</v>
      </c>
      <c r="F48" s="246" t="b">
        <v>0</v>
      </c>
      <c r="G48" s="246" t="b">
        <v>0</v>
      </c>
      <c r="H48" s="246" t="b">
        <v>0</v>
      </c>
      <c r="I48" s="246" t="b">
        <v>0</v>
      </c>
      <c r="J48" s="247"/>
    </row>
    <row r="49" spans="1:10">
      <c r="A49" s="256" t="s">
        <v>1038</v>
      </c>
      <c r="B49" s="243" t="s">
        <v>18</v>
      </c>
      <c r="C49" s="257" t="s">
        <v>1084</v>
      </c>
      <c r="D49" s="245" t="b">
        <v>1</v>
      </c>
      <c r="E49" s="245" t="b">
        <v>1</v>
      </c>
      <c r="F49" s="246" t="b">
        <v>0</v>
      </c>
      <c r="G49" s="246" t="b">
        <v>0</v>
      </c>
      <c r="H49" s="246" t="b">
        <v>0</v>
      </c>
      <c r="I49" s="246" t="b">
        <v>0</v>
      </c>
      <c r="J49" s="247"/>
    </row>
    <row r="50" spans="1:10">
      <c r="A50" s="256" t="s">
        <v>1039</v>
      </c>
      <c r="B50" s="243" t="s">
        <v>18</v>
      </c>
      <c r="C50" s="257" t="s">
        <v>1085</v>
      </c>
      <c r="D50" s="245" t="b">
        <v>1</v>
      </c>
      <c r="E50" s="245" t="b">
        <v>1</v>
      </c>
      <c r="F50" s="246" t="b">
        <v>0</v>
      </c>
      <c r="G50" s="246" t="b">
        <v>0</v>
      </c>
      <c r="H50" s="246" t="b">
        <v>0</v>
      </c>
      <c r="I50" s="246" t="b">
        <v>0</v>
      </c>
      <c r="J50" s="247"/>
    </row>
    <row r="51" spans="1:10">
      <c r="A51" s="256" t="s">
        <v>1040</v>
      </c>
      <c r="B51" s="243" t="s">
        <v>18</v>
      </c>
      <c r="C51" s="257" t="s">
        <v>1086</v>
      </c>
      <c r="D51" s="245" t="b">
        <v>1</v>
      </c>
      <c r="E51" s="245" t="b">
        <v>1</v>
      </c>
      <c r="F51" s="246" t="b">
        <v>0</v>
      </c>
      <c r="G51" s="246" t="b">
        <v>0</v>
      </c>
      <c r="H51" s="246" t="b">
        <v>0</v>
      </c>
      <c r="I51" s="246" t="b">
        <v>0</v>
      </c>
      <c r="J51" s="247"/>
    </row>
    <row r="52" spans="1:10">
      <c r="A52" s="256" t="s">
        <v>1041</v>
      </c>
      <c r="B52" s="243" t="s">
        <v>18</v>
      </c>
      <c r="C52" s="257" t="s">
        <v>1087</v>
      </c>
      <c r="D52" s="245" t="b">
        <v>1</v>
      </c>
      <c r="E52" s="245" t="b">
        <v>1</v>
      </c>
      <c r="F52" s="246" t="b">
        <v>0</v>
      </c>
      <c r="G52" s="246" t="b">
        <v>0</v>
      </c>
      <c r="H52" s="246" t="b">
        <v>0</v>
      </c>
      <c r="I52" s="246" t="b">
        <v>0</v>
      </c>
      <c r="J52" s="247"/>
    </row>
    <row r="53" spans="1:10">
      <c r="A53" s="256" t="s">
        <v>1042</v>
      </c>
      <c r="B53" s="243" t="s">
        <v>18</v>
      </c>
      <c r="C53" s="257" t="s">
        <v>1088</v>
      </c>
      <c r="D53" s="245" t="b">
        <v>1</v>
      </c>
      <c r="E53" s="245" t="b">
        <v>0</v>
      </c>
      <c r="F53" s="246" t="b">
        <v>0</v>
      </c>
      <c r="G53" s="246" t="b">
        <v>0</v>
      </c>
      <c r="H53" s="246" t="b">
        <v>0</v>
      </c>
      <c r="I53" s="246" t="b">
        <v>0</v>
      </c>
      <c r="J53" s="247"/>
    </row>
    <row r="54" spans="1:10" ht="15">
      <c r="A54" s="256" t="s">
        <v>1152</v>
      </c>
      <c r="B54" s="243" t="s">
        <v>18</v>
      </c>
      <c r="C54" s="239" t="s">
        <v>1145</v>
      </c>
      <c r="D54" s="245" t="b">
        <v>1</v>
      </c>
      <c r="E54" s="245" t="b">
        <v>1</v>
      </c>
      <c r="F54" s="246" t="b">
        <v>0</v>
      </c>
      <c r="G54" s="246" t="b">
        <v>0</v>
      </c>
      <c r="H54" s="246" t="b">
        <v>0</v>
      </c>
      <c r="I54" s="246" t="b">
        <v>0</v>
      </c>
      <c r="J54" s="247"/>
    </row>
    <row r="55" spans="1:10">
      <c r="A55" s="243" t="s">
        <v>107</v>
      </c>
      <c r="B55" s="243" t="s">
        <v>108</v>
      </c>
      <c r="C55" s="244" t="s">
        <v>108</v>
      </c>
      <c r="D55" s="245" t="b">
        <v>0</v>
      </c>
      <c r="E55" s="245" t="b">
        <v>0</v>
      </c>
      <c r="F55" s="246" t="b">
        <v>1</v>
      </c>
      <c r="G55" s="246" t="b">
        <v>0</v>
      </c>
      <c r="H55" s="246" t="b">
        <v>0</v>
      </c>
      <c r="I55" s="246" t="b">
        <v>0</v>
      </c>
      <c r="J55" s="247"/>
    </row>
    <row r="56" spans="1:10">
      <c r="A56" s="243" t="s">
        <v>109</v>
      </c>
      <c r="B56" s="243" t="s">
        <v>108</v>
      </c>
      <c r="C56" s="244" t="s">
        <v>443</v>
      </c>
      <c r="D56" s="245" t="b">
        <v>1</v>
      </c>
      <c r="E56" s="245" t="b">
        <v>1</v>
      </c>
      <c r="F56" s="246" t="b">
        <v>0</v>
      </c>
      <c r="G56" s="246" t="b">
        <v>0</v>
      </c>
      <c r="H56" s="246" t="b">
        <v>0</v>
      </c>
      <c r="I56" s="246" t="b">
        <v>0</v>
      </c>
      <c r="J56" s="247"/>
    </row>
    <row r="57" spans="1:10">
      <c r="A57" s="243" t="s">
        <v>110</v>
      </c>
      <c r="B57" s="243" t="s">
        <v>108</v>
      </c>
      <c r="C57" s="244" t="s">
        <v>444</v>
      </c>
      <c r="D57" s="245" t="b">
        <v>1</v>
      </c>
      <c r="E57" s="245" t="b">
        <v>0</v>
      </c>
      <c r="F57" s="246" t="b">
        <v>0</v>
      </c>
      <c r="G57" s="246" t="b">
        <v>0</v>
      </c>
      <c r="H57" s="246" t="b">
        <v>0</v>
      </c>
      <c r="I57" s="246" t="b">
        <v>0</v>
      </c>
      <c r="J57" s="247"/>
    </row>
    <row r="58" spans="1:10">
      <c r="A58" s="243" t="s">
        <v>111</v>
      </c>
      <c r="B58" s="243" t="s">
        <v>108</v>
      </c>
      <c r="C58" s="244" t="s">
        <v>445</v>
      </c>
      <c r="D58" s="245" t="b">
        <v>1</v>
      </c>
      <c r="E58" s="245" t="b">
        <v>1</v>
      </c>
      <c r="F58" s="246" t="b">
        <v>0</v>
      </c>
      <c r="G58" s="246" t="b">
        <v>0</v>
      </c>
      <c r="H58" s="246" t="b">
        <v>0</v>
      </c>
      <c r="I58" s="246" t="b">
        <v>0</v>
      </c>
      <c r="J58" s="247"/>
    </row>
    <row r="59" spans="1:10">
      <c r="A59" s="243" t="s">
        <v>112</v>
      </c>
      <c r="B59" s="243" t="s">
        <v>108</v>
      </c>
      <c r="C59" s="244" t="s">
        <v>446</v>
      </c>
      <c r="D59" s="245" t="b">
        <v>1</v>
      </c>
      <c r="E59" s="245" t="b">
        <v>1</v>
      </c>
      <c r="F59" s="246" t="b">
        <v>0</v>
      </c>
      <c r="G59" s="246" t="b">
        <v>0</v>
      </c>
      <c r="H59" s="246" t="b">
        <v>0</v>
      </c>
      <c r="I59" s="246" t="b">
        <v>0</v>
      </c>
      <c r="J59" s="247"/>
    </row>
    <row r="60" spans="1:10">
      <c r="A60" s="243" t="s">
        <v>113</v>
      </c>
      <c r="B60" s="243" t="s">
        <v>108</v>
      </c>
      <c r="C60" s="244" t="s">
        <v>447</v>
      </c>
      <c r="D60" s="245" t="b">
        <v>1</v>
      </c>
      <c r="E60" s="245" t="b">
        <v>1</v>
      </c>
      <c r="F60" s="246" t="b">
        <v>0</v>
      </c>
      <c r="G60" s="246" t="b">
        <v>0</v>
      </c>
      <c r="H60" s="246" t="b">
        <v>0</v>
      </c>
      <c r="I60" s="246" t="b">
        <v>0</v>
      </c>
      <c r="J60" s="247"/>
    </row>
    <row r="61" spans="1:10">
      <c r="A61" s="243" t="s">
        <v>114</v>
      </c>
      <c r="B61" s="243" t="s">
        <v>108</v>
      </c>
      <c r="C61" s="244" t="s">
        <v>448</v>
      </c>
      <c r="D61" s="245" t="b">
        <v>1</v>
      </c>
      <c r="E61" s="245" t="b">
        <v>0</v>
      </c>
      <c r="F61" s="246" t="b">
        <v>0</v>
      </c>
      <c r="G61" s="246" t="b">
        <v>0</v>
      </c>
      <c r="H61" s="246" t="b">
        <v>0</v>
      </c>
      <c r="I61" s="246" t="b">
        <v>0</v>
      </c>
      <c r="J61" s="247"/>
    </row>
    <row r="62" spans="1:10">
      <c r="A62" s="243" t="s">
        <v>115</v>
      </c>
      <c r="B62" s="243" t="s">
        <v>18</v>
      </c>
      <c r="C62" s="244" t="s">
        <v>449</v>
      </c>
      <c r="D62" s="245" t="b">
        <v>1</v>
      </c>
      <c r="E62" s="245" t="b">
        <v>1</v>
      </c>
      <c r="F62" s="246" t="b">
        <v>0</v>
      </c>
      <c r="G62" s="246" t="b">
        <v>0</v>
      </c>
      <c r="H62" s="246" t="b">
        <v>0</v>
      </c>
      <c r="I62" s="246" t="b">
        <v>0</v>
      </c>
      <c r="J62" s="247"/>
    </row>
    <row r="63" spans="1:10">
      <c r="A63" s="243" t="s">
        <v>116</v>
      </c>
      <c r="B63" s="243" t="s">
        <v>108</v>
      </c>
      <c r="C63" s="244" t="s">
        <v>450</v>
      </c>
      <c r="D63" s="245" t="b">
        <v>1</v>
      </c>
      <c r="E63" s="245" t="b">
        <v>0</v>
      </c>
      <c r="F63" s="246" t="b">
        <v>0</v>
      </c>
      <c r="G63" s="246" t="b">
        <v>0</v>
      </c>
      <c r="H63" s="246" t="b">
        <v>0</v>
      </c>
      <c r="I63" s="246" t="b">
        <v>0</v>
      </c>
      <c r="J63" s="247"/>
    </row>
    <row r="64" spans="1:10">
      <c r="A64" s="243" t="s">
        <v>117</v>
      </c>
      <c r="B64" s="243" t="s">
        <v>108</v>
      </c>
      <c r="C64" s="244" t="s">
        <v>451</v>
      </c>
      <c r="D64" s="245" t="b">
        <v>1</v>
      </c>
      <c r="E64" s="245" t="b">
        <v>1</v>
      </c>
      <c r="F64" s="246" t="b">
        <v>0</v>
      </c>
      <c r="G64" s="246" t="b">
        <v>0</v>
      </c>
      <c r="H64" s="246" t="b">
        <v>0</v>
      </c>
      <c r="I64" s="246" t="b">
        <v>0</v>
      </c>
      <c r="J64" s="247"/>
    </row>
    <row r="65" spans="1:10">
      <c r="A65" s="243" t="s">
        <v>118</v>
      </c>
      <c r="B65" s="243" t="s">
        <v>108</v>
      </c>
      <c r="C65" s="244" t="s">
        <v>452</v>
      </c>
      <c r="D65" s="245" t="b">
        <v>1</v>
      </c>
      <c r="E65" s="245" t="b">
        <v>1</v>
      </c>
      <c r="F65" s="246" t="b">
        <v>0</v>
      </c>
      <c r="G65" s="246" t="b">
        <v>0</v>
      </c>
      <c r="H65" s="246" t="b">
        <v>0</v>
      </c>
      <c r="I65" s="246" t="b">
        <v>0</v>
      </c>
      <c r="J65" s="247"/>
    </row>
    <row r="66" spans="1:10">
      <c r="A66" s="243" t="s">
        <v>119</v>
      </c>
      <c r="B66" s="243" t="s">
        <v>108</v>
      </c>
      <c r="C66" s="244" t="s">
        <v>453</v>
      </c>
      <c r="D66" s="245" t="b">
        <v>1</v>
      </c>
      <c r="E66" s="245" t="b">
        <v>1</v>
      </c>
      <c r="F66" s="246" t="b">
        <v>0</v>
      </c>
      <c r="G66" s="246" t="b">
        <v>0</v>
      </c>
      <c r="H66" s="246" t="b">
        <v>0</v>
      </c>
      <c r="I66" s="246" t="b">
        <v>0</v>
      </c>
      <c r="J66" s="247"/>
    </row>
    <row r="67" spans="1:10">
      <c r="A67" s="243" t="s">
        <v>120</v>
      </c>
      <c r="B67" s="243" t="s">
        <v>108</v>
      </c>
      <c r="C67" s="244" t="s">
        <v>732</v>
      </c>
      <c r="D67" s="245" t="b">
        <v>1</v>
      </c>
      <c r="E67" s="245" t="b">
        <v>0</v>
      </c>
      <c r="F67" s="246" t="b">
        <v>0</v>
      </c>
      <c r="G67" s="246" t="b">
        <v>0</v>
      </c>
      <c r="H67" s="246" t="b">
        <v>0</v>
      </c>
      <c r="I67" s="246" t="b">
        <v>0</v>
      </c>
      <c r="J67" s="247"/>
    </row>
    <row r="68" spans="1:10">
      <c r="A68" s="243" t="s">
        <v>121</v>
      </c>
      <c r="B68" s="243" t="s">
        <v>108</v>
      </c>
      <c r="C68" s="244" t="s">
        <v>454</v>
      </c>
      <c r="D68" s="245" t="b">
        <v>1</v>
      </c>
      <c r="E68" s="245" t="b">
        <v>1</v>
      </c>
      <c r="F68" s="246" t="b">
        <v>0</v>
      </c>
      <c r="G68" s="246" t="b">
        <v>0</v>
      </c>
      <c r="H68" s="246" t="b">
        <v>0</v>
      </c>
      <c r="I68" s="246" t="b">
        <v>0</v>
      </c>
      <c r="J68" s="247"/>
    </row>
    <row r="69" spans="1:10">
      <c r="A69" s="243" t="s">
        <v>122</v>
      </c>
      <c r="B69" s="243" t="s">
        <v>108</v>
      </c>
      <c r="C69" s="244" t="s">
        <v>455</v>
      </c>
      <c r="D69" s="245" t="b">
        <v>1</v>
      </c>
      <c r="E69" s="245" t="b">
        <v>1</v>
      </c>
      <c r="F69" s="246" t="b">
        <v>0</v>
      </c>
      <c r="G69" s="246" t="b">
        <v>0</v>
      </c>
      <c r="H69" s="246" t="b">
        <v>0</v>
      </c>
      <c r="I69" s="246" t="b">
        <v>0</v>
      </c>
      <c r="J69" s="247"/>
    </row>
    <row r="70" spans="1:10">
      <c r="A70" s="243" t="s">
        <v>123</v>
      </c>
      <c r="B70" s="243" t="s">
        <v>101</v>
      </c>
      <c r="C70" s="244" t="s">
        <v>456</v>
      </c>
      <c r="D70" s="245" t="b">
        <v>1</v>
      </c>
      <c r="E70" s="245" t="b">
        <v>0</v>
      </c>
      <c r="F70" s="246" t="b">
        <v>0</v>
      </c>
      <c r="G70" s="246" t="b">
        <v>0</v>
      </c>
      <c r="H70" s="246" t="b">
        <v>0</v>
      </c>
      <c r="I70" s="246" t="b">
        <v>0</v>
      </c>
      <c r="J70" s="247"/>
    </row>
    <row r="71" spans="1:10">
      <c r="A71" s="243" t="s">
        <v>124</v>
      </c>
      <c r="B71" s="243" t="s">
        <v>108</v>
      </c>
      <c r="C71" s="244" t="s">
        <v>457</v>
      </c>
      <c r="D71" s="245" t="b">
        <v>1</v>
      </c>
      <c r="E71" s="245" t="b">
        <v>0</v>
      </c>
      <c r="F71" s="246" t="b">
        <v>0</v>
      </c>
      <c r="G71" s="246" t="b">
        <v>0</v>
      </c>
      <c r="H71" s="246" t="b">
        <v>0</v>
      </c>
      <c r="I71" s="246" t="b">
        <v>0</v>
      </c>
      <c r="J71" s="247"/>
    </row>
    <row r="72" spans="1:10">
      <c r="A72" s="243" t="s">
        <v>125</v>
      </c>
      <c r="B72" s="243" t="s">
        <v>108</v>
      </c>
      <c r="C72" s="244" t="s">
        <v>458</v>
      </c>
      <c r="D72" s="245" t="b">
        <v>1</v>
      </c>
      <c r="E72" s="245" t="b">
        <v>1</v>
      </c>
      <c r="F72" s="246" t="b">
        <v>0</v>
      </c>
      <c r="G72" s="246" t="b">
        <v>0</v>
      </c>
      <c r="H72" s="246" t="b">
        <v>0</v>
      </c>
      <c r="I72" s="246" t="b">
        <v>0</v>
      </c>
      <c r="J72" s="247"/>
    </row>
    <row r="73" spans="1:10">
      <c r="A73" s="243" t="s">
        <v>459</v>
      </c>
      <c r="B73" s="243" t="s">
        <v>640</v>
      </c>
      <c r="C73" s="244" t="s">
        <v>460</v>
      </c>
      <c r="D73" s="245" t="b">
        <v>1</v>
      </c>
      <c r="E73" s="245" t="b">
        <v>0</v>
      </c>
      <c r="F73" s="246" t="b">
        <v>0</v>
      </c>
      <c r="G73" s="246" t="b">
        <v>0</v>
      </c>
      <c r="H73" s="246" t="b">
        <v>0</v>
      </c>
      <c r="I73" s="246" t="b">
        <v>0</v>
      </c>
      <c r="J73" s="247"/>
    </row>
    <row r="74" spans="1:10">
      <c r="A74" s="243" t="s">
        <v>126</v>
      </c>
      <c r="B74" s="243" t="s">
        <v>108</v>
      </c>
      <c r="C74" s="244" t="s">
        <v>461</v>
      </c>
      <c r="D74" s="245" t="b">
        <v>1</v>
      </c>
      <c r="E74" s="245" t="b">
        <v>1</v>
      </c>
      <c r="F74" s="246" t="b">
        <v>0</v>
      </c>
      <c r="G74" s="246" t="b">
        <v>0</v>
      </c>
      <c r="H74" s="246" t="b">
        <v>0</v>
      </c>
      <c r="I74" s="246" t="b">
        <v>0</v>
      </c>
      <c r="J74" s="247"/>
    </row>
    <row r="75" spans="1:10">
      <c r="A75" s="243" t="s">
        <v>127</v>
      </c>
      <c r="B75" s="243" t="s">
        <v>108</v>
      </c>
      <c r="C75" s="244" t="s">
        <v>733</v>
      </c>
      <c r="D75" s="245" t="b">
        <v>1</v>
      </c>
      <c r="E75" s="245" t="b">
        <v>0</v>
      </c>
      <c r="F75" s="246" t="b">
        <v>0</v>
      </c>
      <c r="G75" s="246" t="b">
        <v>0</v>
      </c>
      <c r="H75" s="246" t="b">
        <v>0</v>
      </c>
      <c r="I75" s="246" t="b">
        <v>0</v>
      </c>
      <c r="J75" s="247"/>
    </row>
    <row r="76" spans="1:10">
      <c r="A76" s="243" t="s">
        <v>128</v>
      </c>
      <c r="B76" s="243" t="s">
        <v>108</v>
      </c>
      <c r="C76" s="244" t="s">
        <v>462</v>
      </c>
      <c r="D76" s="245" t="b">
        <v>1</v>
      </c>
      <c r="E76" s="245" t="b">
        <v>1</v>
      </c>
      <c r="F76" s="246" t="b">
        <v>0</v>
      </c>
      <c r="G76" s="246" t="b">
        <v>0</v>
      </c>
      <c r="H76" s="246" t="b">
        <v>0</v>
      </c>
      <c r="I76" s="246" t="b">
        <v>0</v>
      </c>
      <c r="J76" s="247"/>
    </row>
    <row r="77" spans="1:10">
      <c r="A77" s="243" t="s">
        <v>129</v>
      </c>
      <c r="B77" s="243" t="s">
        <v>108</v>
      </c>
      <c r="C77" s="244" t="s">
        <v>463</v>
      </c>
      <c r="D77" s="245" t="b">
        <v>1</v>
      </c>
      <c r="E77" s="245" t="b">
        <v>0</v>
      </c>
      <c r="F77" s="246" t="b">
        <v>0</v>
      </c>
      <c r="G77" s="246" t="b">
        <v>0</v>
      </c>
      <c r="H77" s="246" t="b">
        <v>0</v>
      </c>
      <c r="I77" s="246" t="b">
        <v>0</v>
      </c>
      <c r="J77" s="247"/>
    </row>
    <row r="78" spans="1:10">
      <c r="A78" s="243" t="s">
        <v>130</v>
      </c>
      <c r="B78" s="243" t="s">
        <v>108</v>
      </c>
      <c r="C78" s="244" t="s">
        <v>464</v>
      </c>
      <c r="D78" s="245" t="b">
        <v>1</v>
      </c>
      <c r="E78" s="245" t="b">
        <v>0</v>
      </c>
      <c r="F78" s="246" t="b">
        <v>0</v>
      </c>
      <c r="G78" s="246" t="b">
        <v>0</v>
      </c>
      <c r="H78" s="246" t="b">
        <v>0</v>
      </c>
      <c r="I78" s="246" t="b">
        <v>0</v>
      </c>
      <c r="J78" s="247"/>
    </row>
    <row r="79" spans="1:10">
      <c r="A79" s="243" t="s">
        <v>131</v>
      </c>
      <c r="B79" s="243" t="s">
        <v>108</v>
      </c>
      <c r="C79" s="244" t="s">
        <v>465</v>
      </c>
      <c r="D79" s="245" t="b">
        <v>1</v>
      </c>
      <c r="E79" s="245" t="b">
        <v>1</v>
      </c>
      <c r="F79" s="246" t="b">
        <v>0</v>
      </c>
      <c r="G79" s="246" t="b">
        <v>0</v>
      </c>
      <c r="H79" s="246" t="b">
        <v>0</v>
      </c>
      <c r="I79" s="246" t="b">
        <v>0</v>
      </c>
      <c r="J79" s="247"/>
    </row>
    <row r="80" spans="1:10">
      <c r="A80" s="243" t="s">
        <v>132</v>
      </c>
      <c r="B80" s="243" t="s">
        <v>108</v>
      </c>
      <c r="C80" s="244" t="s">
        <v>466</v>
      </c>
      <c r="D80" s="245" t="b">
        <v>1</v>
      </c>
      <c r="E80" s="245" t="b">
        <v>1</v>
      </c>
      <c r="F80" s="246" t="b">
        <v>0</v>
      </c>
      <c r="G80" s="246" t="b">
        <v>0</v>
      </c>
      <c r="H80" s="246" t="b">
        <v>0</v>
      </c>
      <c r="I80" s="246" t="b">
        <v>0</v>
      </c>
      <c r="J80" s="247"/>
    </row>
    <row r="81" spans="1:10">
      <c r="A81" s="243" t="s">
        <v>133</v>
      </c>
      <c r="B81" s="243" t="s">
        <v>108</v>
      </c>
      <c r="C81" s="244" t="s">
        <v>467</v>
      </c>
      <c r="D81" s="245" t="b">
        <v>1</v>
      </c>
      <c r="E81" s="245" t="b">
        <v>0</v>
      </c>
      <c r="F81" s="246" t="b">
        <v>0</v>
      </c>
      <c r="G81" s="246" t="b">
        <v>0</v>
      </c>
      <c r="H81" s="246" t="b">
        <v>0</v>
      </c>
      <c r="I81" s="246" t="b">
        <v>0</v>
      </c>
      <c r="J81" s="247"/>
    </row>
    <row r="82" spans="1:10">
      <c r="A82" s="243" t="s">
        <v>2</v>
      </c>
      <c r="B82" s="243" t="s">
        <v>108</v>
      </c>
      <c r="C82" s="244" t="s">
        <v>468</v>
      </c>
      <c r="D82" s="245" t="b">
        <v>1</v>
      </c>
      <c r="E82" s="245" t="b">
        <v>0</v>
      </c>
      <c r="F82" s="246" t="b">
        <v>0</v>
      </c>
      <c r="G82" s="246" t="b">
        <v>0</v>
      </c>
      <c r="H82" s="246" t="b">
        <v>0</v>
      </c>
      <c r="I82" s="246" t="b">
        <v>0</v>
      </c>
      <c r="J82" s="247"/>
    </row>
    <row r="83" spans="1:10">
      <c r="A83" s="243" t="s">
        <v>134</v>
      </c>
      <c r="B83" s="243" t="s">
        <v>108</v>
      </c>
      <c r="C83" s="244" t="s">
        <v>469</v>
      </c>
      <c r="D83" s="245" t="b">
        <v>1</v>
      </c>
      <c r="E83" s="245" t="b">
        <v>1</v>
      </c>
      <c r="F83" s="246" t="b">
        <v>0</v>
      </c>
      <c r="G83" s="246" t="b">
        <v>0</v>
      </c>
      <c r="H83" s="246" t="b">
        <v>0</v>
      </c>
      <c r="I83" s="246" t="b">
        <v>0</v>
      </c>
      <c r="J83" s="247"/>
    </row>
    <row r="84" spans="1:10">
      <c r="A84" s="243" t="s">
        <v>135</v>
      </c>
      <c r="B84" s="243" t="s">
        <v>108</v>
      </c>
      <c r="C84" s="244" t="s">
        <v>734</v>
      </c>
      <c r="D84" s="245" t="b">
        <v>1</v>
      </c>
      <c r="E84" s="245" t="b">
        <v>0</v>
      </c>
      <c r="F84" s="246" t="b">
        <v>0</v>
      </c>
      <c r="G84" s="246" t="b">
        <v>0</v>
      </c>
      <c r="H84" s="246" t="b">
        <v>0</v>
      </c>
      <c r="I84" s="246" t="b">
        <v>0</v>
      </c>
      <c r="J84" s="247"/>
    </row>
    <row r="85" spans="1:10">
      <c r="A85" s="243" t="s">
        <v>210</v>
      </c>
      <c r="B85" s="243" t="s">
        <v>108</v>
      </c>
      <c r="C85" s="244" t="s">
        <v>735</v>
      </c>
      <c r="D85" s="245" t="b">
        <v>1</v>
      </c>
      <c r="E85" s="245" t="b">
        <v>1</v>
      </c>
      <c r="F85" s="246" t="b">
        <v>0</v>
      </c>
      <c r="G85" s="246" t="b">
        <v>0</v>
      </c>
      <c r="H85" s="246" t="b">
        <v>0</v>
      </c>
      <c r="I85" s="246" t="b">
        <v>0</v>
      </c>
      <c r="J85" s="247"/>
    </row>
    <row r="86" spans="1:10">
      <c r="A86" s="243" t="s">
        <v>3</v>
      </c>
      <c r="B86" s="243" t="s">
        <v>108</v>
      </c>
      <c r="C86" s="244" t="s">
        <v>470</v>
      </c>
      <c r="D86" s="245" t="b">
        <v>1</v>
      </c>
      <c r="E86" s="245" t="b">
        <v>0</v>
      </c>
      <c r="F86" s="246" t="b">
        <v>0</v>
      </c>
      <c r="G86" s="246" t="b">
        <v>0</v>
      </c>
      <c r="H86" s="246" t="b">
        <v>0</v>
      </c>
      <c r="I86" s="246" t="b">
        <v>0</v>
      </c>
      <c r="J86" s="247"/>
    </row>
    <row r="87" spans="1:10">
      <c r="A87" s="243" t="s">
        <v>4</v>
      </c>
      <c r="B87" s="243" t="s">
        <v>108</v>
      </c>
      <c r="C87" s="244" t="s">
        <v>471</v>
      </c>
      <c r="D87" s="245" t="b">
        <v>1</v>
      </c>
      <c r="E87" s="245" t="b">
        <v>1</v>
      </c>
      <c r="F87" s="246" t="b">
        <v>0</v>
      </c>
      <c r="G87" s="246" t="b">
        <v>0</v>
      </c>
      <c r="H87" s="246" t="b">
        <v>0</v>
      </c>
      <c r="I87" s="246" t="b">
        <v>0</v>
      </c>
      <c r="J87" s="247"/>
    </row>
    <row r="88" spans="1:10">
      <c r="A88" s="243" t="s">
        <v>5</v>
      </c>
      <c r="B88" s="243" t="s">
        <v>108</v>
      </c>
      <c r="C88" s="244" t="s">
        <v>472</v>
      </c>
      <c r="D88" s="245" t="b">
        <v>1</v>
      </c>
      <c r="E88" s="245" t="b">
        <v>0</v>
      </c>
      <c r="F88" s="246" t="b">
        <v>0</v>
      </c>
      <c r="G88" s="246" t="b">
        <v>0</v>
      </c>
      <c r="H88" s="246" t="b">
        <v>0</v>
      </c>
      <c r="I88" s="246" t="b">
        <v>0</v>
      </c>
      <c r="J88" s="247"/>
    </row>
    <row r="89" spans="1:10">
      <c r="A89" s="243" t="s">
        <v>6</v>
      </c>
      <c r="B89" s="243" t="s">
        <v>108</v>
      </c>
      <c r="C89" s="244" t="s">
        <v>473</v>
      </c>
      <c r="D89" s="245" t="b">
        <v>1</v>
      </c>
      <c r="E89" s="245" t="b">
        <v>0</v>
      </c>
      <c r="F89" s="246" t="b">
        <v>0</v>
      </c>
      <c r="G89" s="246" t="b">
        <v>0</v>
      </c>
      <c r="H89" s="246" t="b">
        <v>0</v>
      </c>
      <c r="I89" s="246" t="b">
        <v>0</v>
      </c>
      <c r="J89" s="247"/>
    </row>
    <row r="90" spans="1:10">
      <c r="A90" s="243" t="s">
        <v>7</v>
      </c>
      <c r="B90" s="243" t="s">
        <v>108</v>
      </c>
      <c r="C90" s="244" t="s">
        <v>474</v>
      </c>
      <c r="D90" s="245" t="b">
        <v>1</v>
      </c>
      <c r="E90" s="245" t="b">
        <v>1</v>
      </c>
      <c r="F90" s="246" t="b">
        <v>0</v>
      </c>
      <c r="G90" s="246" t="b">
        <v>0</v>
      </c>
      <c r="H90" s="246" t="b">
        <v>0</v>
      </c>
      <c r="I90" s="246" t="b">
        <v>0</v>
      </c>
      <c r="J90" s="247"/>
    </row>
    <row r="91" spans="1:10">
      <c r="A91" s="243" t="s">
        <v>8</v>
      </c>
      <c r="B91" s="243" t="s">
        <v>108</v>
      </c>
      <c r="C91" s="244" t="s">
        <v>475</v>
      </c>
      <c r="D91" s="245" t="b">
        <v>1</v>
      </c>
      <c r="E91" s="245" t="b">
        <v>0</v>
      </c>
      <c r="F91" s="246" t="b">
        <v>0</v>
      </c>
      <c r="G91" s="246" t="b">
        <v>0</v>
      </c>
      <c r="H91" s="246" t="b">
        <v>0</v>
      </c>
      <c r="I91" s="246" t="b">
        <v>0</v>
      </c>
      <c r="J91" s="247"/>
    </row>
    <row r="92" spans="1:10">
      <c r="A92" s="243" t="s">
        <v>476</v>
      </c>
      <c r="B92" s="243" t="s">
        <v>108</v>
      </c>
      <c r="C92" s="244" t="s">
        <v>477</v>
      </c>
      <c r="D92" s="245" t="b">
        <v>1</v>
      </c>
      <c r="E92" s="245" t="b">
        <v>0</v>
      </c>
      <c r="F92" s="246" t="b">
        <v>0</v>
      </c>
      <c r="G92" s="246" t="b">
        <v>0</v>
      </c>
      <c r="H92" s="246" t="b">
        <v>0</v>
      </c>
      <c r="I92" s="246" t="b">
        <v>0</v>
      </c>
      <c r="J92" s="247"/>
    </row>
    <row r="93" spans="1:10">
      <c r="A93" s="243" t="s">
        <v>478</v>
      </c>
      <c r="B93" s="243" t="s">
        <v>108</v>
      </c>
      <c r="C93" s="244" t="s">
        <v>479</v>
      </c>
      <c r="D93" s="245" t="b">
        <v>1</v>
      </c>
      <c r="E93" s="245" t="b">
        <v>0</v>
      </c>
      <c r="F93" s="246" t="b">
        <v>0</v>
      </c>
      <c r="G93" s="246" t="b">
        <v>0</v>
      </c>
      <c r="H93" s="246" t="b">
        <v>0</v>
      </c>
      <c r="I93" s="246" t="b">
        <v>0</v>
      </c>
      <c r="J93" s="247"/>
    </row>
    <row r="94" spans="1:10">
      <c r="A94" s="243" t="s">
        <v>736</v>
      </c>
      <c r="B94" s="243" t="s">
        <v>108</v>
      </c>
      <c r="C94" s="244" t="s">
        <v>737</v>
      </c>
      <c r="D94" s="245" t="b">
        <v>1</v>
      </c>
      <c r="E94" s="245" t="b">
        <v>0</v>
      </c>
      <c r="F94" s="246" t="b">
        <v>0</v>
      </c>
      <c r="G94" s="246" t="b">
        <v>0</v>
      </c>
      <c r="H94" s="246" t="b">
        <v>0</v>
      </c>
      <c r="I94" s="246" t="b">
        <v>0</v>
      </c>
      <c r="J94" s="247"/>
    </row>
    <row r="95" spans="1:10">
      <c r="A95" s="243" t="s">
        <v>738</v>
      </c>
      <c r="B95" s="243" t="s">
        <v>108</v>
      </c>
      <c r="C95" s="244" t="s">
        <v>739</v>
      </c>
      <c r="D95" s="245" t="b">
        <v>1</v>
      </c>
      <c r="E95" s="245" t="b">
        <v>0</v>
      </c>
      <c r="F95" s="246" t="b">
        <v>0</v>
      </c>
      <c r="G95" s="246" t="b">
        <v>0</v>
      </c>
      <c r="H95" s="246" t="b">
        <v>0</v>
      </c>
      <c r="I95" s="246" t="b">
        <v>0</v>
      </c>
      <c r="J95" s="247"/>
    </row>
    <row r="96" spans="1:10">
      <c r="A96" s="243" t="s">
        <v>740</v>
      </c>
      <c r="B96" s="243" t="s">
        <v>108</v>
      </c>
      <c r="C96" s="244" t="s">
        <v>741</v>
      </c>
      <c r="D96" s="245" t="b">
        <v>1</v>
      </c>
      <c r="E96" s="245" t="b">
        <v>0</v>
      </c>
      <c r="F96" s="246" t="b">
        <v>0</v>
      </c>
      <c r="G96" s="246" t="b">
        <v>0</v>
      </c>
      <c r="H96" s="246" t="b">
        <v>0</v>
      </c>
      <c r="I96" s="246" t="b">
        <v>0</v>
      </c>
      <c r="J96" s="247"/>
    </row>
    <row r="97" spans="1:10">
      <c r="A97" s="243" t="s">
        <v>12</v>
      </c>
      <c r="B97" s="243" t="s">
        <v>108</v>
      </c>
      <c r="C97" s="244" t="s">
        <v>480</v>
      </c>
      <c r="D97" s="245" t="b">
        <v>1</v>
      </c>
      <c r="E97" s="245" t="b">
        <v>0</v>
      </c>
      <c r="F97" s="246" t="b">
        <v>0</v>
      </c>
      <c r="G97" s="246" t="b">
        <v>0</v>
      </c>
      <c r="H97" s="246" t="b">
        <v>0</v>
      </c>
      <c r="I97" s="246" t="b">
        <v>0</v>
      </c>
      <c r="J97" s="247"/>
    </row>
    <row r="98" spans="1:10">
      <c r="A98" s="258" t="s">
        <v>1043</v>
      </c>
      <c r="B98" s="243" t="s">
        <v>108</v>
      </c>
      <c r="C98" s="257" t="s">
        <v>1089</v>
      </c>
      <c r="D98" s="245" t="b">
        <v>1</v>
      </c>
      <c r="E98" s="245" t="b">
        <v>0</v>
      </c>
      <c r="F98" s="246" t="b">
        <v>0</v>
      </c>
      <c r="G98" s="246" t="b">
        <v>0</v>
      </c>
      <c r="H98" s="246" t="b">
        <v>0</v>
      </c>
      <c r="I98" s="246" t="b">
        <v>0</v>
      </c>
      <c r="J98" s="247"/>
    </row>
    <row r="99" spans="1:10">
      <c r="A99" s="258" t="s">
        <v>1044</v>
      </c>
      <c r="B99" s="243" t="s">
        <v>108</v>
      </c>
      <c r="C99" s="158" t="s">
        <v>1090</v>
      </c>
      <c r="D99" s="245" t="b">
        <v>1</v>
      </c>
      <c r="E99" s="245" t="b">
        <v>0</v>
      </c>
      <c r="F99" s="246" t="b">
        <v>0</v>
      </c>
      <c r="G99" s="246" t="b">
        <v>0</v>
      </c>
      <c r="H99" s="246" t="b">
        <v>0</v>
      </c>
      <c r="I99" s="246" t="b">
        <v>0</v>
      </c>
      <c r="J99" s="247"/>
    </row>
    <row r="100" spans="1:10">
      <c r="A100" s="258" t="s">
        <v>1045</v>
      </c>
      <c r="B100" s="243" t="s">
        <v>108</v>
      </c>
      <c r="C100" s="257" t="s">
        <v>1091</v>
      </c>
      <c r="D100" s="245" t="b">
        <v>1</v>
      </c>
      <c r="E100" s="245" t="b">
        <v>0</v>
      </c>
      <c r="F100" s="246" t="b">
        <v>0</v>
      </c>
      <c r="G100" s="246" t="b">
        <v>0</v>
      </c>
      <c r="H100" s="246" t="b">
        <v>0</v>
      </c>
      <c r="I100" s="246" t="b">
        <v>0</v>
      </c>
      <c r="J100" s="247"/>
    </row>
    <row r="101" spans="1:10">
      <c r="A101" s="258" t="s">
        <v>1046</v>
      </c>
      <c r="B101" s="243" t="s">
        <v>108</v>
      </c>
      <c r="C101" s="257" t="s">
        <v>1092</v>
      </c>
      <c r="D101" s="245" t="b">
        <v>1</v>
      </c>
      <c r="E101" s="245" t="b">
        <v>1</v>
      </c>
      <c r="F101" s="246" t="b">
        <v>0</v>
      </c>
      <c r="G101" s="246" t="b">
        <v>0</v>
      </c>
      <c r="H101" s="246" t="b">
        <v>0</v>
      </c>
      <c r="I101" s="246" t="b">
        <v>0</v>
      </c>
      <c r="J101" s="247"/>
    </row>
    <row r="102" spans="1:10">
      <c r="A102" s="258" t="s">
        <v>1047</v>
      </c>
      <c r="B102" s="243" t="s">
        <v>108</v>
      </c>
      <c r="C102" s="257" t="s">
        <v>1093</v>
      </c>
      <c r="D102" s="245" t="b">
        <v>1</v>
      </c>
      <c r="E102" s="245" t="b">
        <v>0</v>
      </c>
      <c r="F102" s="246" t="b">
        <v>0</v>
      </c>
      <c r="G102" s="246" t="b">
        <v>0</v>
      </c>
      <c r="H102" s="246" t="b">
        <v>0</v>
      </c>
      <c r="I102" s="246" t="b">
        <v>0</v>
      </c>
      <c r="J102" s="247"/>
    </row>
    <row r="103" spans="1:10">
      <c r="A103" s="258" t="s">
        <v>1048</v>
      </c>
      <c r="B103" s="243" t="s">
        <v>108</v>
      </c>
      <c r="C103" s="257" t="s">
        <v>1094</v>
      </c>
      <c r="D103" s="245" t="b">
        <v>1</v>
      </c>
      <c r="E103" s="245" t="b">
        <v>0</v>
      </c>
      <c r="F103" s="246" t="b">
        <v>0</v>
      </c>
      <c r="G103" s="246" t="b">
        <v>0</v>
      </c>
      <c r="H103" s="246" t="b">
        <v>0</v>
      </c>
      <c r="I103" s="246" t="b">
        <v>0</v>
      </c>
      <c r="J103" s="247"/>
    </row>
    <row r="104" spans="1:10">
      <c r="A104" s="258" t="s">
        <v>1049</v>
      </c>
      <c r="B104" s="243" t="s">
        <v>108</v>
      </c>
      <c r="C104" s="257" t="s">
        <v>1095</v>
      </c>
      <c r="D104" s="245" t="b">
        <v>1</v>
      </c>
      <c r="E104" s="245" t="b">
        <v>0</v>
      </c>
      <c r="F104" s="246" t="b">
        <v>0</v>
      </c>
      <c r="G104" s="246" t="b">
        <v>0</v>
      </c>
      <c r="H104" s="246" t="b">
        <v>0</v>
      </c>
      <c r="I104" s="246" t="b">
        <v>0</v>
      </c>
      <c r="J104" s="247"/>
    </row>
    <row r="105" spans="1:10">
      <c r="A105" s="258" t="s">
        <v>1050</v>
      </c>
      <c r="B105" s="243" t="s">
        <v>108</v>
      </c>
      <c r="C105" s="257" t="s">
        <v>1096</v>
      </c>
      <c r="D105" s="245" t="b">
        <v>1</v>
      </c>
      <c r="E105" s="245" t="b">
        <v>0</v>
      </c>
      <c r="F105" s="246" t="b">
        <v>0</v>
      </c>
      <c r="G105" s="246" t="b">
        <v>0</v>
      </c>
      <c r="H105" s="246" t="b">
        <v>0</v>
      </c>
      <c r="I105" s="246" t="b">
        <v>0</v>
      </c>
      <c r="J105" s="247"/>
    </row>
    <row r="106" spans="1:10">
      <c r="A106" s="258" t="s">
        <v>1051</v>
      </c>
      <c r="B106" s="243" t="s">
        <v>108</v>
      </c>
      <c r="C106" s="257" t="s">
        <v>1097</v>
      </c>
      <c r="D106" s="245" t="b">
        <v>1</v>
      </c>
      <c r="E106" s="245" t="b">
        <v>0</v>
      </c>
      <c r="F106" s="246" t="b">
        <v>0</v>
      </c>
      <c r="G106" s="246" t="b">
        <v>0</v>
      </c>
      <c r="H106" s="246" t="b">
        <v>0</v>
      </c>
      <c r="I106" s="246" t="b">
        <v>0</v>
      </c>
      <c r="J106" s="247"/>
    </row>
    <row r="107" spans="1:10">
      <c r="A107" s="243" t="s">
        <v>153</v>
      </c>
      <c r="B107" s="243" t="s">
        <v>154</v>
      </c>
      <c r="C107" s="244" t="s">
        <v>154</v>
      </c>
      <c r="D107" s="245" t="b">
        <v>0</v>
      </c>
      <c r="E107" s="245" t="b">
        <v>0</v>
      </c>
      <c r="F107" s="246" t="b">
        <v>1</v>
      </c>
      <c r="G107" s="246" t="b">
        <v>0</v>
      </c>
      <c r="H107" s="246" t="b">
        <v>0</v>
      </c>
      <c r="I107" s="246" t="b">
        <v>0</v>
      </c>
      <c r="J107" s="247"/>
    </row>
    <row r="108" spans="1:10">
      <c r="A108" s="243" t="s">
        <v>155</v>
      </c>
      <c r="B108" s="243" t="s">
        <v>154</v>
      </c>
      <c r="C108" s="244" t="s">
        <v>481</v>
      </c>
      <c r="D108" s="245" t="b">
        <v>1</v>
      </c>
      <c r="E108" s="245" t="b">
        <v>0</v>
      </c>
      <c r="F108" s="246" t="b">
        <v>0</v>
      </c>
      <c r="G108" s="246" t="b">
        <v>0</v>
      </c>
      <c r="H108" s="246" t="b">
        <v>0</v>
      </c>
      <c r="I108" s="246" t="b">
        <v>0</v>
      </c>
      <c r="J108" s="247"/>
    </row>
    <row r="109" spans="1:10">
      <c r="A109" s="243" t="s">
        <v>482</v>
      </c>
      <c r="B109" s="243" t="s">
        <v>154</v>
      </c>
      <c r="C109" s="244" t="s">
        <v>483</v>
      </c>
      <c r="D109" s="245" t="b">
        <v>1</v>
      </c>
      <c r="E109" s="245" t="b">
        <v>0</v>
      </c>
      <c r="F109" s="246" t="b">
        <v>0</v>
      </c>
      <c r="G109" s="246" t="b">
        <v>0</v>
      </c>
      <c r="H109" s="246" t="b">
        <v>0</v>
      </c>
      <c r="I109" s="246" t="b">
        <v>0</v>
      </c>
      <c r="J109" s="247"/>
    </row>
    <row r="110" spans="1:10">
      <c r="A110" s="243" t="s">
        <v>156</v>
      </c>
      <c r="B110" s="243" t="s">
        <v>154</v>
      </c>
      <c r="C110" s="244" t="s">
        <v>484</v>
      </c>
      <c r="D110" s="245" t="b">
        <v>1</v>
      </c>
      <c r="E110" s="245" t="b">
        <v>0</v>
      </c>
      <c r="F110" s="246" t="b">
        <v>0</v>
      </c>
      <c r="G110" s="246" t="b">
        <v>0</v>
      </c>
      <c r="H110" s="246" t="b">
        <v>0</v>
      </c>
      <c r="I110" s="246" t="b">
        <v>0</v>
      </c>
      <c r="J110" s="247"/>
    </row>
    <row r="111" spans="1:10">
      <c r="A111" s="243" t="s">
        <v>157</v>
      </c>
      <c r="B111" s="243" t="s">
        <v>154</v>
      </c>
      <c r="C111" s="244" t="s">
        <v>742</v>
      </c>
      <c r="D111" s="245" t="b">
        <v>1</v>
      </c>
      <c r="E111" s="245" t="b">
        <v>0</v>
      </c>
      <c r="F111" s="246" t="b">
        <v>0</v>
      </c>
      <c r="G111" s="246" t="b">
        <v>0</v>
      </c>
      <c r="H111" s="246" t="b">
        <v>0</v>
      </c>
      <c r="I111" s="246" t="b">
        <v>0</v>
      </c>
      <c r="J111" s="247"/>
    </row>
    <row r="112" spans="1:10">
      <c r="A112" s="243" t="s">
        <v>209</v>
      </c>
      <c r="B112" s="243" t="s">
        <v>154</v>
      </c>
      <c r="C112" s="244" t="s">
        <v>485</v>
      </c>
      <c r="D112" s="245" t="b">
        <v>1</v>
      </c>
      <c r="E112" s="245" t="b">
        <v>0</v>
      </c>
      <c r="F112" s="246" t="b">
        <v>0</v>
      </c>
      <c r="G112" s="246" t="b">
        <v>0</v>
      </c>
      <c r="H112" s="246" t="b">
        <v>0</v>
      </c>
      <c r="I112" s="246" t="b">
        <v>0</v>
      </c>
      <c r="J112" s="247"/>
    </row>
    <row r="113" spans="1:10">
      <c r="A113" s="243" t="s">
        <v>158</v>
      </c>
      <c r="B113" s="243" t="s">
        <v>154</v>
      </c>
      <c r="C113" s="244" t="s">
        <v>486</v>
      </c>
      <c r="D113" s="245" t="b">
        <v>1</v>
      </c>
      <c r="E113" s="245" t="b">
        <v>0</v>
      </c>
      <c r="F113" s="246" t="b">
        <v>0</v>
      </c>
      <c r="G113" s="246" t="b">
        <v>0</v>
      </c>
      <c r="H113" s="246" t="b">
        <v>0</v>
      </c>
      <c r="I113" s="246" t="b">
        <v>0</v>
      </c>
      <c r="J113" s="247"/>
    </row>
    <row r="114" spans="1:10">
      <c r="A114" s="243" t="s">
        <v>487</v>
      </c>
      <c r="B114" s="243" t="s">
        <v>154</v>
      </c>
      <c r="C114" s="244" t="s">
        <v>488</v>
      </c>
      <c r="D114" s="245" t="b">
        <v>1</v>
      </c>
      <c r="E114" s="245" t="b">
        <v>0</v>
      </c>
      <c r="F114" s="246" t="b">
        <v>0</v>
      </c>
      <c r="G114" s="246" t="b">
        <v>0</v>
      </c>
      <c r="H114" s="246" t="b">
        <v>0</v>
      </c>
      <c r="I114" s="246" t="b">
        <v>0</v>
      </c>
      <c r="J114" s="247"/>
    </row>
    <row r="115" spans="1:10">
      <c r="A115" s="243" t="s">
        <v>489</v>
      </c>
      <c r="B115" s="243" t="s">
        <v>154</v>
      </c>
      <c r="C115" s="244" t="s">
        <v>490</v>
      </c>
      <c r="D115" s="245" t="b">
        <v>1</v>
      </c>
      <c r="E115" s="245" t="b">
        <v>0</v>
      </c>
      <c r="F115" s="246" t="b">
        <v>0</v>
      </c>
      <c r="G115" s="246" t="b">
        <v>0</v>
      </c>
      <c r="H115" s="246" t="b">
        <v>0</v>
      </c>
      <c r="I115" s="246" t="b">
        <v>0</v>
      </c>
      <c r="J115" s="247"/>
    </row>
    <row r="116" spans="1:10">
      <c r="A116" s="243" t="s">
        <v>159</v>
      </c>
      <c r="B116" s="243" t="s">
        <v>154</v>
      </c>
      <c r="C116" s="244" t="s">
        <v>491</v>
      </c>
      <c r="D116" s="245" t="b">
        <v>1</v>
      </c>
      <c r="E116" s="245" t="b">
        <v>0</v>
      </c>
      <c r="F116" s="246" t="b">
        <v>0</v>
      </c>
      <c r="G116" s="246" t="b">
        <v>0</v>
      </c>
      <c r="H116" s="246" t="b">
        <v>0</v>
      </c>
      <c r="I116" s="246" t="b">
        <v>0</v>
      </c>
      <c r="J116" s="247"/>
    </row>
    <row r="117" spans="1:10">
      <c r="A117" s="243" t="s">
        <v>160</v>
      </c>
      <c r="B117" s="243" t="s">
        <v>154</v>
      </c>
      <c r="C117" s="244" t="s">
        <v>492</v>
      </c>
      <c r="D117" s="245" t="b">
        <v>1</v>
      </c>
      <c r="E117" s="245" t="b">
        <v>0</v>
      </c>
      <c r="F117" s="246" t="b">
        <v>0</v>
      </c>
      <c r="G117" s="246" t="b">
        <v>0</v>
      </c>
      <c r="H117" s="246" t="b">
        <v>0</v>
      </c>
      <c r="I117" s="246" t="b">
        <v>0</v>
      </c>
      <c r="J117" s="247"/>
    </row>
    <row r="118" spans="1:10">
      <c r="A118" s="243" t="s">
        <v>161</v>
      </c>
      <c r="B118" s="243" t="s">
        <v>154</v>
      </c>
      <c r="C118" s="244" t="s">
        <v>493</v>
      </c>
      <c r="D118" s="245" t="b">
        <v>1</v>
      </c>
      <c r="E118" s="245" t="b">
        <v>0</v>
      </c>
      <c r="F118" s="246" t="b">
        <v>0</v>
      </c>
      <c r="G118" s="246" t="b">
        <v>0</v>
      </c>
      <c r="H118" s="246" t="b">
        <v>0</v>
      </c>
      <c r="I118" s="246" t="b">
        <v>0</v>
      </c>
      <c r="J118" s="247"/>
    </row>
    <row r="119" spans="1:10">
      <c r="A119" s="243" t="s">
        <v>162</v>
      </c>
      <c r="B119" s="243" t="s">
        <v>154</v>
      </c>
      <c r="C119" s="244" t="s">
        <v>494</v>
      </c>
      <c r="D119" s="245" t="b">
        <v>1</v>
      </c>
      <c r="E119" s="245" t="b">
        <v>0</v>
      </c>
      <c r="F119" s="246" t="b">
        <v>0</v>
      </c>
      <c r="G119" s="246" t="b">
        <v>0</v>
      </c>
      <c r="H119" s="246" t="b">
        <v>0</v>
      </c>
      <c r="I119" s="246" t="b">
        <v>0</v>
      </c>
      <c r="J119" s="247"/>
    </row>
    <row r="120" spans="1:10">
      <c r="A120" s="243" t="s">
        <v>163</v>
      </c>
      <c r="B120" s="243" t="s">
        <v>154</v>
      </c>
      <c r="C120" s="244" t="s">
        <v>495</v>
      </c>
      <c r="D120" s="245" t="b">
        <v>1</v>
      </c>
      <c r="E120" s="245" t="b">
        <v>0</v>
      </c>
      <c r="F120" s="246" t="b">
        <v>0</v>
      </c>
      <c r="G120" s="246" t="b">
        <v>0</v>
      </c>
      <c r="H120" s="246" t="b">
        <v>0</v>
      </c>
      <c r="I120" s="246" t="b">
        <v>0</v>
      </c>
      <c r="J120" s="247"/>
    </row>
    <row r="121" spans="1:10">
      <c r="A121" s="243" t="s">
        <v>164</v>
      </c>
      <c r="B121" s="243" t="s">
        <v>154</v>
      </c>
      <c r="C121" s="244" t="s">
        <v>496</v>
      </c>
      <c r="D121" s="245" t="b">
        <v>1</v>
      </c>
      <c r="E121" s="245" t="b">
        <v>0</v>
      </c>
      <c r="F121" s="246" t="b">
        <v>0</v>
      </c>
      <c r="G121" s="246" t="b">
        <v>0</v>
      </c>
      <c r="H121" s="246" t="b">
        <v>0</v>
      </c>
      <c r="I121" s="246" t="b">
        <v>0</v>
      </c>
      <c r="J121" s="247"/>
    </row>
    <row r="122" spans="1:10">
      <c r="A122" s="243" t="s">
        <v>743</v>
      </c>
      <c r="B122" s="243" t="s">
        <v>154</v>
      </c>
      <c r="C122" s="244" t="s">
        <v>744</v>
      </c>
      <c r="D122" s="245" t="b">
        <v>1</v>
      </c>
      <c r="E122" s="245" t="b">
        <v>0</v>
      </c>
      <c r="F122" s="246" t="b">
        <v>0</v>
      </c>
      <c r="G122" s="246" t="b">
        <v>0</v>
      </c>
      <c r="H122" s="246" t="b">
        <v>0</v>
      </c>
      <c r="I122" s="246" t="b">
        <v>0</v>
      </c>
      <c r="J122" s="247"/>
    </row>
    <row r="123" spans="1:10">
      <c r="A123" s="243" t="s">
        <v>497</v>
      </c>
      <c r="B123" s="243" t="s">
        <v>498</v>
      </c>
      <c r="C123" s="244" t="s">
        <v>499</v>
      </c>
      <c r="D123" s="245" t="b">
        <v>1</v>
      </c>
      <c r="E123" s="245" t="b">
        <v>0</v>
      </c>
      <c r="F123" s="246" t="b">
        <v>0</v>
      </c>
      <c r="G123" s="246" t="b">
        <v>0</v>
      </c>
      <c r="H123" s="246" t="b">
        <v>0</v>
      </c>
      <c r="I123" s="246" t="b">
        <v>0</v>
      </c>
      <c r="J123" s="247"/>
    </row>
    <row r="124" spans="1:10">
      <c r="A124" s="243" t="s">
        <v>165</v>
      </c>
      <c r="B124" s="243" t="s">
        <v>72</v>
      </c>
      <c r="C124" s="244" t="s">
        <v>500</v>
      </c>
      <c r="D124" s="245" t="b">
        <v>1</v>
      </c>
      <c r="E124" s="245" t="b">
        <v>0</v>
      </c>
      <c r="F124" s="246" t="b">
        <v>0</v>
      </c>
      <c r="G124" s="246" t="b">
        <v>0</v>
      </c>
      <c r="H124" s="246" t="b">
        <v>0</v>
      </c>
      <c r="I124" s="246" t="b">
        <v>0</v>
      </c>
      <c r="J124" s="247"/>
    </row>
    <row r="125" spans="1:10">
      <c r="A125" s="243" t="s">
        <v>745</v>
      </c>
      <c r="B125" s="243" t="s">
        <v>154</v>
      </c>
      <c r="C125" s="244" t="s">
        <v>746</v>
      </c>
      <c r="D125" s="245" t="b">
        <v>1</v>
      </c>
      <c r="E125" s="245" t="b">
        <v>0</v>
      </c>
      <c r="F125" s="246" t="b">
        <v>0</v>
      </c>
      <c r="G125" s="246" t="b">
        <v>0</v>
      </c>
      <c r="H125" s="246" t="b">
        <v>0</v>
      </c>
      <c r="I125" s="246" t="b">
        <v>0</v>
      </c>
      <c r="J125" s="247"/>
    </row>
    <row r="126" spans="1:10">
      <c r="A126" s="243" t="s">
        <v>501</v>
      </c>
      <c r="B126" s="243" t="s">
        <v>154</v>
      </c>
      <c r="C126" s="244" t="s">
        <v>747</v>
      </c>
      <c r="D126" s="245" t="b">
        <v>1</v>
      </c>
      <c r="E126" s="245" t="b">
        <v>0</v>
      </c>
      <c r="F126" s="246" t="b">
        <v>0</v>
      </c>
      <c r="G126" s="246" t="b">
        <v>0</v>
      </c>
      <c r="H126" s="246" t="b">
        <v>0</v>
      </c>
      <c r="I126" s="246" t="b">
        <v>0</v>
      </c>
      <c r="J126" s="247"/>
    </row>
    <row r="127" spans="1:10">
      <c r="A127" s="243" t="s">
        <v>166</v>
      </c>
      <c r="B127" s="243" t="s">
        <v>154</v>
      </c>
      <c r="C127" s="244" t="s">
        <v>502</v>
      </c>
      <c r="D127" s="245" t="b">
        <v>1</v>
      </c>
      <c r="E127" s="245" t="b">
        <v>0</v>
      </c>
      <c r="F127" s="246" t="b">
        <v>0</v>
      </c>
      <c r="G127" s="246" t="b">
        <v>0</v>
      </c>
      <c r="H127" s="246" t="b">
        <v>0</v>
      </c>
      <c r="I127" s="246" t="b">
        <v>0</v>
      </c>
      <c r="J127" s="247"/>
    </row>
    <row r="128" spans="1:10">
      <c r="A128" s="243" t="s">
        <v>503</v>
      </c>
      <c r="B128" s="243" t="s">
        <v>154</v>
      </c>
      <c r="C128" s="244" t="s">
        <v>748</v>
      </c>
      <c r="D128" s="245" t="b">
        <v>1</v>
      </c>
      <c r="E128" s="245" t="b">
        <v>0</v>
      </c>
      <c r="F128" s="246" t="b">
        <v>0</v>
      </c>
      <c r="G128" s="246" t="b">
        <v>0</v>
      </c>
      <c r="H128" s="246" t="b">
        <v>0</v>
      </c>
      <c r="I128" s="246" t="b">
        <v>0</v>
      </c>
      <c r="J128" s="247"/>
    </row>
    <row r="129" spans="1:10">
      <c r="A129" s="243" t="s">
        <v>167</v>
      </c>
      <c r="B129" s="243" t="s">
        <v>154</v>
      </c>
      <c r="C129" s="244" t="s">
        <v>504</v>
      </c>
      <c r="D129" s="245" t="b">
        <v>1</v>
      </c>
      <c r="E129" s="245" t="b">
        <v>0</v>
      </c>
      <c r="F129" s="246" t="b">
        <v>0</v>
      </c>
      <c r="G129" s="246" t="b">
        <v>0</v>
      </c>
      <c r="H129" s="246" t="b">
        <v>0</v>
      </c>
      <c r="I129" s="246" t="b">
        <v>0</v>
      </c>
      <c r="J129" s="247"/>
    </row>
    <row r="130" spans="1:10">
      <c r="A130" s="243" t="s">
        <v>168</v>
      </c>
      <c r="B130" s="243" t="s">
        <v>154</v>
      </c>
      <c r="C130" s="244" t="s">
        <v>749</v>
      </c>
      <c r="D130" s="245" t="b">
        <v>1</v>
      </c>
      <c r="E130" s="245" t="b">
        <v>0</v>
      </c>
      <c r="F130" s="246" t="b">
        <v>0</v>
      </c>
      <c r="G130" s="246" t="b">
        <v>0</v>
      </c>
      <c r="H130" s="246" t="b">
        <v>0</v>
      </c>
      <c r="I130" s="246" t="b">
        <v>0</v>
      </c>
      <c r="J130" s="247"/>
    </row>
    <row r="131" spans="1:10">
      <c r="A131" s="243" t="s">
        <v>505</v>
      </c>
      <c r="B131" s="243" t="s">
        <v>154</v>
      </c>
      <c r="C131" s="244" t="s">
        <v>506</v>
      </c>
      <c r="D131" s="245" t="b">
        <v>1</v>
      </c>
      <c r="E131" s="245" t="b">
        <v>0</v>
      </c>
      <c r="F131" s="246" t="b">
        <v>0</v>
      </c>
      <c r="G131" s="246" t="b">
        <v>0</v>
      </c>
      <c r="H131" s="246" t="b">
        <v>0</v>
      </c>
      <c r="I131" s="246" t="b">
        <v>0</v>
      </c>
      <c r="J131" s="247"/>
    </row>
    <row r="132" spans="1:10">
      <c r="A132" s="243" t="s">
        <v>169</v>
      </c>
      <c r="B132" s="243" t="s">
        <v>154</v>
      </c>
      <c r="C132" s="244" t="s">
        <v>507</v>
      </c>
      <c r="D132" s="245" t="b">
        <v>1</v>
      </c>
      <c r="E132" s="245" t="b">
        <v>0</v>
      </c>
      <c r="F132" s="246" t="b">
        <v>0</v>
      </c>
      <c r="G132" s="246" t="b">
        <v>0</v>
      </c>
      <c r="H132" s="246" t="b">
        <v>0</v>
      </c>
      <c r="I132" s="246" t="b">
        <v>0</v>
      </c>
      <c r="J132" s="247"/>
    </row>
    <row r="133" spans="1:10" ht="15">
      <c r="A133" s="243" t="s">
        <v>170</v>
      </c>
      <c r="B133" s="243" t="s">
        <v>154</v>
      </c>
      <c r="C133" s="238" t="s">
        <v>1146</v>
      </c>
      <c r="D133" s="245" t="b">
        <v>1</v>
      </c>
      <c r="E133" s="245" t="b">
        <v>0</v>
      </c>
      <c r="F133" s="246" t="b">
        <v>0</v>
      </c>
      <c r="G133" s="246" t="b">
        <v>0</v>
      </c>
      <c r="H133" s="246" t="b">
        <v>0</v>
      </c>
      <c r="I133" s="246" t="b">
        <v>0</v>
      </c>
      <c r="J133" s="247"/>
    </row>
    <row r="134" spans="1:10">
      <c r="A134" s="243" t="s">
        <v>171</v>
      </c>
      <c r="B134" s="243" t="s">
        <v>154</v>
      </c>
      <c r="C134" s="244" t="s">
        <v>508</v>
      </c>
      <c r="D134" s="245" t="b">
        <v>1</v>
      </c>
      <c r="E134" s="245" t="b">
        <v>0</v>
      </c>
      <c r="F134" s="246" t="b">
        <v>0</v>
      </c>
      <c r="G134" s="246" t="b">
        <v>0</v>
      </c>
      <c r="H134" s="246" t="b">
        <v>0</v>
      </c>
      <c r="I134" s="246" t="b">
        <v>0</v>
      </c>
      <c r="J134" s="247"/>
    </row>
    <row r="135" spans="1:10">
      <c r="A135" s="243" t="s">
        <v>172</v>
      </c>
      <c r="B135" s="243" t="s">
        <v>154</v>
      </c>
      <c r="C135" s="244" t="s">
        <v>509</v>
      </c>
      <c r="D135" s="245" t="b">
        <v>1</v>
      </c>
      <c r="E135" s="245" t="b">
        <v>0</v>
      </c>
      <c r="F135" s="246" t="b">
        <v>0</v>
      </c>
      <c r="G135" s="246" t="b">
        <v>0</v>
      </c>
      <c r="H135" s="246" t="b">
        <v>0</v>
      </c>
      <c r="I135" s="246" t="b">
        <v>0</v>
      </c>
      <c r="J135" s="247"/>
    </row>
    <row r="136" spans="1:10">
      <c r="A136" s="243" t="s">
        <v>173</v>
      </c>
      <c r="B136" s="243" t="s">
        <v>154</v>
      </c>
      <c r="C136" s="244" t="s">
        <v>510</v>
      </c>
      <c r="D136" s="245" t="b">
        <v>1</v>
      </c>
      <c r="E136" s="245" t="b">
        <v>0</v>
      </c>
      <c r="F136" s="246" t="b">
        <v>0</v>
      </c>
      <c r="G136" s="246" t="b">
        <v>0</v>
      </c>
      <c r="H136" s="246" t="b">
        <v>0</v>
      </c>
      <c r="I136" s="246" t="b">
        <v>0</v>
      </c>
      <c r="J136" s="247"/>
    </row>
    <row r="137" spans="1:10">
      <c r="A137" s="243" t="s">
        <v>750</v>
      </c>
      <c r="B137" s="243" t="s">
        <v>154</v>
      </c>
      <c r="C137" s="244" t="s">
        <v>751</v>
      </c>
      <c r="D137" s="245" t="b">
        <v>1</v>
      </c>
      <c r="E137" s="245" t="b">
        <v>0</v>
      </c>
      <c r="F137" s="246" t="b">
        <v>0</v>
      </c>
      <c r="G137" s="246" t="b">
        <v>0</v>
      </c>
      <c r="H137" s="246" t="b">
        <v>0</v>
      </c>
      <c r="I137" s="246" t="b">
        <v>0</v>
      </c>
      <c r="J137" s="247"/>
    </row>
    <row r="138" spans="1:10">
      <c r="A138" s="243" t="s">
        <v>174</v>
      </c>
      <c r="B138" s="243" t="s">
        <v>154</v>
      </c>
      <c r="C138" s="244" t="s">
        <v>511</v>
      </c>
      <c r="D138" s="245" t="b">
        <v>1</v>
      </c>
      <c r="E138" s="245" t="b">
        <v>0</v>
      </c>
      <c r="F138" s="246" t="b">
        <v>0</v>
      </c>
      <c r="G138" s="246" t="b">
        <v>0</v>
      </c>
      <c r="H138" s="246" t="b">
        <v>0</v>
      </c>
      <c r="I138" s="246" t="b">
        <v>0</v>
      </c>
      <c r="J138" s="247"/>
    </row>
    <row r="139" spans="1:10">
      <c r="A139" s="243" t="s">
        <v>211</v>
      </c>
      <c r="B139" s="243" t="s">
        <v>154</v>
      </c>
      <c r="C139" s="244" t="s">
        <v>512</v>
      </c>
      <c r="D139" s="245" t="b">
        <v>1</v>
      </c>
      <c r="E139" s="245" t="b">
        <v>0</v>
      </c>
      <c r="F139" s="246" t="b">
        <v>0</v>
      </c>
      <c r="G139" s="246" t="b">
        <v>0</v>
      </c>
      <c r="H139" s="246" t="b">
        <v>0</v>
      </c>
      <c r="I139" s="246" t="b">
        <v>0</v>
      </c>
      <c r="J139" s="247"/>
    </row>
    <row r="140" spans="1:10">
      <c r="A140" s="243" t="s">
        <v>9</v>
      </c>
      <c r="B140" s="243" t="s">
        <v>154</v>
      </c>
      <c r="C140" s="244" t="s">
        <v>513</v>
      </c>
      <c r="D140" s="245" t="b">
        <v>1</v>
      </c>
      <c r="E140" s="245" t="b">
        <v>0</v>
      </c>
      <c r="F140" s="246" t="b">
        <v>0</v>
      </c>
      <c r="G140" s="246" t="b">
        <v>0</v>
      </c>
      <c r="H140" s="246" t="b">
        <v>0</v>
      </c>
      <c r="I140" s="246" t="b">
        <v>0</v>
      </c>
      <c r="J140" s="247"/>
    </row>
    <row r="141" spans="1:10">
      <c r="A141" s="243" t="s">
        <v>175</v>
      </c>
      <c r="B141" s="243" t="s">
        <v>154</v>
      </c>
      <c r="C141" s="244" t="s">
        <v>514</v>
      </c>
      <c r="D141" s="245" t="b">
        <v>1</v>
      </c>
      <c r="E141" s="245" t="b">
        <v>0</v>
      </c>
      <c r="F141" s="246" t="b">
        <v>0</v>
      </c>
      <c r="G141" s="246" t="b">
        <v>0</v>
      </c>
      <c r="H141" s="246" t="b">
        <v>0</v>
      </c>
      <c r="I141" s="246" t="b">
        <v>0</v>
      </c>
      <c r="J141" s="247"/>
    </row>
    <row r="142" spans="1:10">
      <c r="A142" s="243" t="s">
        <v>176</v>
      </c>
      <c r="B142" s="243" t="s">
        <v>154</v>
      </c>
      <c r="C142" s="244" t="s">
        <v>1136</v>
      </c>
      <c r="D142" s="245" t="b">
        <v>1</v>
      </c>
      <c r="E142" s="245" t="b">
        <v>0</v>
      </c>
      <c r="F142" s="246" t="b">
        <v>0</v>
      </c>
      <c r="G142" s="246" t="b">
        <v>0</v>
      </c>
      <c r="H142" s="246" t="b">
        <v>0</v>
      </c>
      <c r="I142" s="246" t="b">
        <v>0</v>
      </c>
      <c r="J142" s="247"/>
    </row>
    <row r="143" spans="1:10">
      <c r="A143" s="243" t="s">
        <v>177</v>
      </c>
      <c r="B143" s="243" t="s">
        <v>154</v>
      </c>
      <c r="C143" s="244" t="s">
        <v>515</v>
      </c>
      <c r="D143" s="245" t="b">
        <v>1</v>
      </c>
      <c r="E143" s="245" t="b">
        <v>0</v>
      </c>
      <c r="F143" s="246" t="b">
        <v>0</v>
      </c>
      <c r="G143" s="246" t="b">
        <v>0</v>
      </c>
      <c r="H143" s="246" t="b">
        <v>0</v>
      </c>
      <c r="I143" s="246" t="b">
        <v>0</v>
      </c>
      <c r="J143" s="247"/>
    </row>
    <row r="144" spans="1:10">
      <c r="A144" s="256" t="s">
        <v>1052</v>
      </c>
      <c r="B144" s="243" t="s">
        <v>154</v>
      </c>
      <c r="C144" s="257" t="s">
        <v>1098</v>
      </c>
      <c r="D144" s="245" t="b">
        <v>1</v>
      </c>
      <c r="E144" s="245" t="b">
        <v>0</v>
      </c>
      <c r="F144" s="246" t="b">
        <v>0</v>
      </c>
      <c r="G144" s="246" t="b">
        <v>0</v>
      </c>
      <c r="H144" s="246" t="b">
        <v>0</v>
      </c>
      <c r="I144" s="246" t="b">
        <v>0</v>
      </c>
      <c r="J144" s="247"/>
    </row>
    <row r="145" spans="1:10">
      <c r="A145" s="243" t="s">
        <v>178</v>
      </c>
      <c r="B145" s="243" t="s">
        <v>154</v>
      </c>
      <c r="C145" s="244" t="s">
        <v>516</v>
      </c>
      <c r="D145" s="245" t="b">
        <v>1</v>
      </c>
      <c r="E145" s="245" t="b">
        <v>0</v>
      </c>
      <c r="F145" s="246" t="b">
        <v>0</v>
      </c>
      <c r="G145" s="246" t="b">
        <v>0</v>
      </c>
      <c r="H145" s="246" t="b">
        <v>0</v>
      </c>
      <c r="I145" s="246" t="b">
        <v>0</v>
      </c>
      <c r="J145" s="247"/>
    </row>
    <row r="146" spans="1:10">
      <c r="A146" s="243" t="s">
        <v>179</v>
      </c>
      <c r="B146" s="243" t="s">
        <v>154</v>
      </c>
      <c r="C146" s="244" t="s">
        <v>517</v>
      </c>
      <c r="D146" s="245" t="b">
        <v>1</v>
      </c>
      <c r="E146" s="245" t="b">
        <v>0</v>
      </c>
      <c r="F146" s="246" t="b">
        <v>0</v>
      </c>
      <c r="G146" s="246" t="b">
        <v>0</v>
      </c>
      <c r="H146" s="246" t="b">
        <v>0</v>
      </c>
      <c r="I146" s="246" t="b">
        <v>0</v>
      </c>
      <c r="J146" s="247"/>
    </row>
    <row r="147" spans="1:10">
      <c r="A147" s="243" t="s">
        <v>518</v>
      </c>
      <c r="B147" s="243" t="s">
        <v>154</v>
      </c>
      <c r="C147" s="244" t="s">
        <v>519</v>
      </c>
      <c r="D147" s="245" t="b">
        <v>1</v>
      </c>
      <c r="E147" s="245" t="b">
        <v>0</v>
      </c>
      <c r="F147" s="246" t="b">
        <v>0</v>
      </c>
      <c r="G147" s="246" t="b">
        <v>0</v>
      </c>
      <c r="H147" s="246" t="b">
        <v>0</v>
      </c>
      <c r="I147" s="246" t="b">
        <v>0</v>
      </c>
      <c r="J147" s="247"/>
    </row>
    <row r="148" spans="1:10">
      <c r="A148" s="256" t="s">
        <v>1053</v>
      </c>
      <c r="B148" s="243" t="s">
        <v>154</v>
      </c>
      <c r="C148" s="158" t="s">
        <v>1099</v>
      </c>
      <c r="D148" s="245" t="b">
        <v>1</v>
      </c>
      <c r="E148" s="245" t="b">
        <v>0</v>
      </c>
      <c r="F148" s="246" t="b">
        <v>0</v>
      </c>
      <c r="G148" s="246" t="b">
        <v>0</v>
      </c>
      <c r="H148" s="246" t="b">
        <v>0</v>
      </c>
      <c r="I148" s="246" t="b">
        <v>0</v>
      </c>
      <c r="J148" s="247"/>
    </row>
    <row r="149" spans="1:10">
      <c r="A149" s="243" t="s">
        <v>180</v>
      </c>
      <c r="B149" s="243" t="s">
        <v>154</v>
      </c>
      <c r="C149" s="244" t="s">
        <v>520</v>
      </c>
      <c r="D149" s="245" t="b">
        <v>1</v>
      </c>
      <c r="E149" s="245" t="b">
        <v>0</v>
      </c>
      <c r="F149" s="246" t="b">
        <v>0</v>
      </c>
      <c r="G149" s="246" t="b">
        <v>0</v>
      </c>
      <c r="H149" s="246" t="b">
        <v>0</v>
      </c>
      <c r="I149" s="246" t="b">
        <v>0</v>
      </c>
      <c r="J149" s="247"/>
    </row>
    <row r="150" spans="1:10">
      <c r="A150" s="243" t="s">
        <v>521</v>
      </c>
      <c r="B150" s="243" t="s">
        <v>154</v>
      </c>
      <c r="C150" s="244" t="s">
        <v>522</v>
      </c>
      <c r="D150" s="245" t="b">
        <v>1</v>
      </c>
      <c r="E150" s="245" t="b">
        <v>0</v>
      </c>
      <c r="F150" s="246" t="b">
        <v>0</v>
      </c>
      <c r="G150" s="246" t="b">
        <v>0</v>
      </c>
      <c r="H150" s="246" t="b">
        <v>0</v>
      </c>
      <c r="I150" s="246" t="b">
        <v>0</v>
      </c>
      <c r="J150" s="247"/>
    </row>
    <row r="151" spans="1:10" ht="15">
      <c r="A151" s="243" t="s">
        <v>523</v>
      </c>
      <c r="B151" s="243" t="s">
        <v>498</v>
      </c>
      <c r="C151" s="238" t="s">
        <v>1147</v>
      </c>
      <c r="D151" s="245" t="b">
        <v>1</v>
      </c>
      <c r="E151" s="245" t="b">
        <v>0</v>
      </c>
      <c r="F151" s="246" t="b">
        <v>0</v>
      </c>
      <c r="G151" s="246" t="b">
        <v>0</v>
      </c>
      <c r="H151" s="246" t="b">
        <v>0</v>
      </c>
      <c r="I151" s="246" t="b">
        <v>0</v>
      </c>
      <c r="J151" s="247"/>
    </row>
    <row r="152" spans="1:10">
      <c r="A152" s="243" t="s">
        <v>524</v>
      </c>
      <c r="B152" s="243" t="s">
        <v>154</v>
      </c>
      <c r="C152" s="244" t="s">
        <v>525</v>
      </c>
      <c r="D152" s="245" t="b">
        <v>1</v>
      </c>
      <c r="E152" s="245" t="b">
        <v>0</v>
      </c>
      <c r="F152" s="246" t="b">
        <v>0</v>
      </c>
      <c r="G152" s="246" t="b">
        <v>0</v>
      </c>
      <c r="H152" s="246" t="b">
        <v>0</v>
      </c>
      <c r="I152" s="246" t="b">
        <v>0</v>
      </c>
      <c r="J152" s="247"/>
    </row>
    <row r="153" spans="1:10">
      <c r="A153" s="243" t="s">
        <v>526</v>
      </c>
      <c r="B153" s="243" t="s">
        <v>154</v>
      </c>
      <c r="C153" s="244" t="s">
        <v>527</v>
      </c>
      <c r="D153" s="245" t="b">
        <v>1</v>
      </c>
      <c r="E153" s="245" t="b">
        <v>0</v>
      </c>
      <c r="F153" s="246" t="b">
        <v>0</v>
      </c>
      <c r="G153" s="246" t="b">
        <v>0</v>
      </c>
      <c r="H153" s="246" t="b">
        <v>0</v>
      </c>
      <c r="I153" s="246" t="b">
        <v>0</v>
      </c>
      <c r="J153" s="247"/>
    </row>
    <row r="154" spans="1:10">
      <c r="A154" s="243" t="s">
        <v>528</v>
      </c>
      <c r="B154" s="243" t="s">
        <v>154</v>
      </c>
      <c r="C154" s="244" t="s">
        <v>529</v>
      </c>
      <c r="D154" s="245" t="b">
        <v>1</v>
      </c>
      <c r="E154" s="245" t="b">
        <v>0</v>
      </c>
      <c r="F154" s="246" t="b">
        <v>0</v>
      </c>
      <c r="G154" s="246" t="b">
        <v>0</v>
      </c>
      <c r="H154" s="246" t="b">
        <v>0</v>
      </c>
      <c r="I154" s="246" t="b">
        <v>0</v>
      </c>
      <c r="J154" s="247"/>
    </row>
    <row r="155" spans="1:10">
      <c r="A155" s="243" t="s">
        <v>752</v>
      </c>
      <c r="B155" s="243" t="s">
        <v>154</v>
      </c>
      <c r="C155" s="244" t="s">
        <v>753</v>
      </c>
      <c r="D155" s="245" t="b">
        <v>1</v>
      </c>
      <c r="E155" s="245" t="b">
        <v>0</v>
      </c>
      <c r="F155" s="246" t="b">
        <v>0</v>
      </c>
      <c r="G155" s="246" t="b">
        <v>0</v>
      </c>
      <c r="H155" s="246" t="b">
        <v>0</v>
      </c>
      <c r="I155" s="246" t="b">
        <v>0</v>
      </c>
      <c r="J155" s="247"/>
    </row>
    <row r="156" spans="1:10">
      <c r="A156" s="243" t="s">
        <v>754</v>
      </c>
      <c r="B156" s="243" t="s">
        <v>154</v>
      </c>
      <c r="C156" s="244" t="s">
        <v>755</v>
      </c>
      <c r="D156" s="245" t="b">
        <v>1</v>
      </c>
      <c r="E156" s="245" t="b">
        <v>0</v>
      </c>
      <c r="F156" s="246" t="b">
        <v>0</v>
      </c>
      <c r="G156" s="246" t="b">
        <v>0</v>
      </c>
      <c r="H156" s="246" t="b">
        <v>0</v>
      </c>
      <c r="I156" s="246" t="b">
        <v>0</v>
      </c>
      <c r="J156" s="247"/>
    </row>
    <row r="157" spans="1:10">
      <c r="A157" s="243" t="s">
        <v>756</v>
      </c>
      <c r="B157" s="243" t="s">
        <v>154</v>
      </c>
      <c r="C157" s="244" t="s">
        <v>757</v>
      </c>
      <c r="D157" s="245" t="b">
        <v>1</v>
      </c>
      <c r="E157" s="245" t="b">
        <v>0</v>
      </c>
      <c r="F157" s="246" t="b">
        <v>0</v>
      </c>
      <c r="G157" s="246" t="b">
        <v>0</v>
      </c>
      <c r="H157" s="246" t="b">
        <v>0</v>
      </c>
      <c r="I157" s="246" t="b">
        <v>0</v>
      </c>
      <c r="J157" s="247"/>
    </row>
    <row r="158" spans="1:10">
      <c r="A158" s="243" t="s">
        <v>758</v>
      </c>
      <c r="B158" s="243" t="s">
        <v>154</v>
      </c>
      <c r="C158" s="244" t="s">
        <v>759</v>
      </c>
      <c r="D158" s="245" t="b">
        <v>1</v>
      </c>
      <c r="E158" s="245" t="b">
        <v>0</v>
      </c>
      <c r="F158" s="246" t="b">
        <v>0</v>
      </c>
      <c r="G158" s="246" t="b">
        <v>0</v>
      </c>
      <c r="H158" s="246" t="b">
        <v>0</v>
      </c>
      <c r="I158" s="246" t="b">
        <v>0</v>
      </c>
      <c r="J158" s="247"/>
    </row>
    <row r="159" spans="1:10">
      <c r="A159" s="243" t="s">
        <v>760</v>
      </c>
      <c r="B159" s="243" t="s">
        <v>154</v>
      </c>
      <c r="C159" s="244" t="s">
        <v>761</v>
      </c>
      <c r="D159" s="245" t="b">
        <v>1</v>
      </c>
      <c r="E159" s="245" t="b">
        <v>0</v>
      </c>
      <c r="F159" s="246" t="b">
        <v>0</v>
      </c>
      <c r="G159" s="246" t="b">
        <v>0</v>
      </c>
      <c r="H159" s="246" t="b">
        <v>0</v>
      </c>
      <c r="I159" s="246" t="b">
        <v>0</v>
      </c>
      <c r="J159" s="247"/>
    </row>
    <row r="160" spans="1:10">
      <c r="A160" s="259" t="s">
        <v>1054</v>
      </c>
      <c r="B160" s="243" t="s">
        <v>154</v>
      </c>
      <c r="C160" s="158" t="s">
        <v>1100</v>
      </c>
      <c r="D160" s="245" t="b">
        <v>1</v>
      </c>
      <c r="E160" s="245" t="b">
        <v>0</v>
      </c>
      <c r="F160" s="246" t="b">
        <v>0</v>
      </c>
      <c r="G160" s="246" t="b">
        <v>0</v>
      </c>
      <c r="H160" s="246" t="b">
        <v>0</v>
      </c>
      <c r="I160" s="246" t="b">
        <v>0</v>
      </c>
      <c r="J160" s="247"/>
    </row>
    <row r="161" spans="1:10">
      <c r="A161" s="258" t="s">
        <v>1055</v>
      </c>
      <c r="B161" s="243" t="s">
        <v>154</v>
      </c>
      <c r="C161" s="158" t="s">
        <v>1101</v>
      </c>
      <c r="D161" s="245" t="b">
        <v>1</v>
      </c>
      <c r="E161" s="245" t="b">
        <v>0</v>
      </c>
      <c r="F161" s="246" t="b">
        <v>0</v>
      </c>
      <c r="G161" s="246" t="b">
        <v>0</v>
      </c>
      <c r="H161" s="246" t="b">
        <v>0</v>
      </c>
      <c r="I161" s="246" t="b">
        <v>0</v>
      </c>
      <c r="J161" s="247"/>
    </row>
    <row r="162" spans="1:10">
      <c r="A162" s="258" t="s">
        <v>1056</v>
      </c>
      <c r="B162" s="243" t="s">
        <v>154</v>
      </c>
      <c r="C162" s="257" t="s">
        <v>1102</v>
      </c>
      <c r="D162" s="245" t="b">
        <v>1</v>
      </c>
      <c r="E162" s="245" t="b">
        <v>0</v>
      </c>
      <c r="F162" s="246" t="b">
        <v>0</v>
      </c>
      <c r="G162" s="246" t="b">
        <v>0</v>
      </c>
      <c r="H162" s="246" t="b">
        <v>0</v>
      </c>
      <c r="I162" s="246" t="b">
        <v>0</v>
      </c>
      <c r="J162" s="247"/>
    </row>
    <row r="163" spans="1:10">
      <c r="A163" s="258" t="s">
        <v>1057</v>
      </c>
      <c r="B163" s="243" t="s">
        <v>154</v>
      </c>
      <c r="C163" s="257" t="s">
        <v>1103</v>
      </c>
      <c r="D163" s="245" t="b">
        <v>1</v>
      </c>
      <c r="E163" s="245" t="b">
        <v>0</v>
      </c>
      <c r="F163" s="246" t="b">
        <v>0</v>
      </c>
      <c r="G163" s="246" t="b">
        <v>0</v>
      </c>
      <c r="H163" s="246" t="b">
        <v>0</v>
      </c>
      <c r="I163" s="246" t="b">
        <v>0</v>
      </c>
      <c r="J163" s="247"/>
    </row>
    <row r="164" spans="1:10">
      <c r="A164" s="258" t="s">
        <v>1058</v>
      </c>
      <c r="B164" s="243" t="s">
        <v>154</v>
      </c>
      <c r="C164" s="257" t="s">
        <v>1104</v>
      </c>
      <c r="D164" s="245" t="b">
        <v>1</v>
      </c>
      <c r="E164" s="245" t="b">
        <v>0</v>
      </c>
      <c r="F164" s="246" t="b">
        <v>0</v>
      </c>
      <c r="G164" s="246" t="b">
        <v>0</v>
      </c>
      <c r="H164" s="246" t="b">
        <v>0</v>
      </c>
      <c r="I164" s="246" t="b">
        <v>0</v>
      </c>
      <c r="J164" s="247"/>
    </row>
    <row r="165" spans="1:10">
      <c r="A165" s="258" t="s">
        <v>1059</v>
      </c>
      <c r="B165" s="243" t="s">
        <v>154</v>
      </c>
      <c r="C165" s="158" t="s">
        <v>1105</v>
      </c>
      <c r="D165" s="245" t="b">
        <v>1</v>
      </c>
      <c r="E165" s="245" t="b">
        <v>0</v>
      </c>
      <c r="F165" s="246" t="b">
        <v>0</v>
      </c>
      <c r="G165" s="246" t="b">
        <v>0</v>
      </c>
      <c r="H165" s="246" t="b">
        <v>0</v>
      </c>
      <c r="I165" s="246" t="b">
        <v>0</v>
      </c>
      <c r="J165" s="247"/>
    </row>
    <row r="166" spans="1:10">
      <c r="A166" s="258" t="s">
        <v>1060</v>
      </c>
      <c r="B166" s="243" t="s">
        <v>154</v>
      </c>
      <c r="C166" s="257" t="s">
        <v>1106</v>
      </c>
      <c r="D166" s="245" t="b">
        <v>1</v>
      </c>
      <c r="E166" s="245" t="b">
        <v>0</v>
      </c>
      <c r="F166" s="246" t="b">
        <v>0</v>
      </c>
      <c r="G166" s="246" t="b">
        <v>0</v>
      </c>
      <c r="H166" s="246" t="b">
        <v>0</v>
      </c>
      <c r="I166" s="246" t="b">
        <v>0</v>
      </c>
      <c r="J166" s="247"/>
    </row>
    <row r="167" spans="1:10">
      <c r="A167" s="258" t="s">
        <v>1061</v>
      </c>
      <c r="B167" s="243" t="s">
        <v>154</v>
      </c>
      <c r="C167" s="257" t="s">
        <v>1107</v>
      </c>
      <c r="D167" s="245" t="b">
        <v>1</v>
      </c>
      <c r="E167" s="245" t="b">
        <v>0</v>
      </c>
      <c r="F167" s="246" t="b">
        <v>0</v>
      </c>
      <c r="G167" s="246" t="b">
        <v>0</v>
      </c>
      <c r="H167" s="246" t="b">
        <v>0</v>
      </c>
      <c r="I167" s="246" t="b">
        <v>0</v>
      </c>
      <c r="J167" s="247"/>
    </row>
    <row r="168" spans="1:10">
      <c r="A168" s="258" t="s">
        <v>1062</v>
      </c>
      <c r="B168" s="243" t="s">
        <v>154</v>
      </c>
      <c r="C168" s="257" t="s">
        <v>1108</v>
      </c>
      <c r="D168" s="245" t="b">
        <v>1</v>
      </c>
      <c r="E168" s="245" t="b">
        <v>0</v>
      </c>
      <c r="F168" s="246" t="b">
        <v>0</v>
      </c>
      <c r="G168" s="246" t="b">
        <v>0</v>
      </c>
      <c r="H168" s="246" t="b">
        <v>0</v>
      </c>
      <c r="I168" s="246" t="b">
        <v>0</v>
      </c>
      <c r="J168" s="247"/>
    </row>
    <row r="169" spans="1:10">
      <c r="A169" s="243" t="s">
        <v>71</v>
      </c>
      <c r="B169" s="243" t="s">
        <v>72</v>
      </c>
      <c r="C169" s="244" t="s">
        <v>72</v>
      </c>
      <c r="D169" s="245" t="b">
        <v>0</v>
      </c>
      <c r="E169" s="245" t="b">
        <v>0</v>
      </c>
      <c r="F169" s="246" t="b">
        <v>1</v>
      </c>
      <c r="G169" s="246" t="b">
        <v>0</v>
      </c>
      <c r="H169" s="246" t="b">
        <v>0</v>
      </c>
      <c r="I169" s="246" t="b">
        <v>0</v>
      </c>
      <c r="J169" s="247"/>
    </row>
    <row r="170" spans="1:10">
      <c r="A170" s="243" t="s">
        <v>73</v>
      </c>
      <c r="B170" s="243" t="s">
        <v>72</v>
      </c>
      <c r="C170" s="244" t="s">
        <v>762</v>
      </c>
      <c r="D170" s="245" t="b">
        <v>1</v>
      </c>
      <c r="E170" s="245" t="b">
        <v>0</v>
      </c>
      <c r="F170" s="246" t="b">
        <v>0</v>
      </c>
      <c r="G170" s="246" t="b">
        <v>0</v>
      </c>
      <c r="H170" s="246" t="b">
        <v>0</v>
      </c>
      <c r="I170" s="246" t="b">
        <v>0</v>
      </c>
      <c r="J170" s="247"/>
    </row>
    <row r="171" spans="1:10">
      <c r="A171" s="243" t="s">
        <v>74</v>
      </c>
      <c r="B171" s="243" t="s">
        <v>72</v>
      </c>
      <c r="C171" s="244" t="s">
        <v>530</v>
      </c>
      <c r="D171" s="245" t="b">
        <v>1</v>
      </c>
      <c r="E171" s="245" t="b">
        <v>0</v>
      </c>
      <c r="F171" s="246" t="b">
        <v>0</v>
      </c>
      <c r="G171" s="246" t="b">
        <v>0</v>
      </c>
      <c r="H171" s="246" t="b">
        <v>0</v>
      </c>
      <c r="I171" s="246" t="b">
        <v>0</v>
      </c>
      <c r="J171" s="247"/>
    </row>
    <row r="172" spans="1:10">
      <c r="A172" s="243" t="s">
        <v>75</v>
      </c>
      <c r="B172" s="243" t="s">
        <v>72</v>
      </c>
      <c r="C172" s="244" t="s">
        <v>531</v>
      </c>
      <c r="D172" s="245" t="b">
        <v>1</v>
      </c>
      <c r="E172" s="245" t="b">
        <v>0</v>
      </c>
      <c r="F172" s="246" t="b">
        <v>0</v>
      </c>
      <c r="G172" s="246" t="b">
        <v>0</v>
      </c>
      <c r="H172" s="246" t="b">
        <v>0</v>
      </c>
      <c r="I172" s="246" t="b">
        <v>0</v>
      </c>
      <c r="J172" s="247"/>
    </row>
    <row r="173" spans="1:10">
      <c r="A173" s="243" t="s">
        <v>76</v>
      </c>
      <c r="B173" s="243" t="s">
        <v>72</v>
      </c>
      <c r="C173" s="244" t="s">
        <v>532</v>
      </c>
      <c r="D173" s="245" t="b">
        <v>1</v>
      </c>
      <c r="E173" s="245" t="b">
        <v>0</v>
      </c>
      <c r="F173" s="246" t="b">
        <v>0</v>
      </c>
      <c r="G173" s="246" t="b">
        <v>0</v>
      </c>
      <c r="H173" s="246" t="b">
        <v>0</v>
      </c>
      <c r="I173" s="246" t="b">
        <v>0</v>
      </c>
      <c r="J173" s="247"/>
    </row>
    <row r="174" spans="1:10">
      <c r="A174" s="243" t="s">
        <v>77</v>
      </c>
      <c r="B174" s="243" t="s">
        <v>72</v>
      </c>
      <c r="C174" s="244" t="s">
        <v>533</v>
      </c>
      <c r="D174" s="245" t="b">
        <v>1</v>
      </c>
      <c r="E174" s="245" t="b">
        <v>0</v>
      </c>
      <c r="F174" s="246" t="b">
        <v>0</v>
      </c>
      <c r="G174" s="246" t="b">
        <v>0</v>
      </c>
      <c r="H174" s="246" t="b">
        <v>0</v>
      </c>
      <c r="I174" s="246" t="b">
        <v>0</v>
      </c>
      <c r="J174" s="247"/>
    </row>
    <row r="175" spans="1:10">
      <c r="A175" s="243" t="s">
        <v>78</v>
      </c>
      <c r="B175" s="243" t="s">
        <v>72</v>
      </c>
      <c r="C175" s="244" t="s">
        <v>534</v>
      </c>
      <c r="D175" s="245" t="b">
        <v>1</v>
      </c>
      <c r="E175" s="245" t="b">
        <v>0</v>
      </c>
      <c r="F175" s="246" t="b">
        <v>0</v>
      </c>
      <c r="G175" s="246" t="b">
        <v>0</v>
      </c>
      <c r="H175" s="246" t="b">
        <v>0</v>
      </c>
      <c r="I175" s="246" t="b">
        <v>0</v>
      </c>
      <c r="J175" s="247"/>
    </row>
    <row r="176" spans="1:10">
      <c r="A176" s="243" t="s">
        <v>79</v>
      </c>
      <c r="B176" s="243" t="s">
        <v>72</v>
      </c>
      <c r="C176" s="244" t="s">
        <v>535</v>
      </c>
      <c r="D176" s="245" t="b">
        <v>1</v>
      </c>
      <c r="E176" s="245" t="b">
        <v>0</v>
      </c>
      <c r="F176" s="246" t="b">
        <v>0</v>
      </c>
      <c r="G176" s="246" t="b">
        <v>0</v>
      </c>
      <c r="H176" s="246" t="b">
        <v>0</v>
      </c>
      <c r="I176" s="246" t="b">
        <v>0</v>
      </c>
      <c r="J176" s="247"/>
    </row>
    <row r="177" spans="1:10">
      <c r="A177" s="243" t="s">
        <v>80</v>
      </c>
      <c r="B177" s="243" t="s">
        <v>72</v>
      </c>
      <c r="C177" s="244" t="s">
        <v>536</v>
      </c>
      <c r="D177" s="245" t="b">
        <v>1</v>
      </c>
      <c r="E177" s="245" t="b">
        <v>0</v>
      </c>
      <c r="F177" s="246" t="b">
        <v>0</v>
      </c>
      <c r="G177" s="246" t="b">
        <v>0</v>
      </c>
      <c r="H177" s="246" t="b">
        <v>0</v>
      </c>
      <c r="I177" s="246" t="b">
        <v>0</v>
      </c>
      <c r="J177" s="247"/>
    </row>
    <row r="178" spans="1:10">
      <c r="A178" s="243" t="s">
        <v>81</v>
      </c>
      <c r="B178" s="243" t="s">
        <v>72</v>
      </c>
      <c r="C178" s="244" t="s">
        <v>537</v>
      </c>
      <c r="D178" s="245" t="b">
        <v>1</v>
      </c>
      <c r="E178" s="245" t="b">
        <v>0</v>
      </c>
      <c r="F178" s="246" t="b">
        <v>0</v>
      </c>
      <c r="G178" s="246" t="b">
        <v>0</v>
      </c>
      <c r="H178" s="246" t="b">
        <v>0</v>
      </c>
      <c r="I178" s="246" t="b">
        <v>0</v>
      </c>
      <c r="J178" s="247"/>
    </row>
    <row r="179" spans="1:10">
      <c r="A179" s="243" t="s">
        <v>82</v>
      </c>
      <c r="B179" s="243" t="s">
        <v>72</v>
      </c>
      <c r="C179" s="244" t="s">
        <v>538</v>
      </c>
      <c r="D179" s="245" t="b">
        <v>1</v>
      </c>
      <c r="E179" s="245" t="b">
        <v>0</v>
      </c>
      <c r="F179" s="246" t="b">
        <v>0</v>
      </c>
      <c r="G179" s="246" t="b">
        <v>0</v>
      </c>
      <c r="H179" s="246" t="b">
        <v>0</v>
      </c>
      <c r="I179" s="246" t="b">
        <v>0</v>
      </c>
      <c r="J179" s="247"/>
    </row>
    <row r="180" spans="1:10">
      <c r="A180" s="243" t="s">
        <v>83</v>
      </c>
      <c r="B180" s="243" t="s">
        <v>72</v>
      </c>
      <c r="C180" s="244" t="s">
        <v>539</v>
      </c>
      <c r="D180" s="245" t="b">
        <v>1</v>
      </c>
      <c r="E180" s="245" t="b">
        <v>0</v>
      </c>
      <c r="F180" s="246" t="b">
        <v>0</v>
      </c>
      <c r="G180" s="246" t="b">
        <v>0</v>
      </c>
      <c r="H180" s="246" t="b">
        <v>0</v>
      </c>
      <c r="I180" s="246" t="b">
        <v>0</v>
      </c>
      <c r="J180" s="247"/>
    </row>
    <row r="181" spans="1:10">
      <c r="A181" s="243" t="s">
        <v>84</v>
      </c>
      <c r="B181" s="243" t="s">
        <v>72</v>
      </c>
      <c r="C181" s="244" t="s">
        <v>540</v>
      </c>
      <c r="D181" s="245" t="b">
        <v>1</v>
      </c>
      <c r="E181" s="245" t="b">
        <v>0</v>
      </c>
      <c r="F181" s="246" t="b">
        <v>0</v>
      </c>
      <c r="G181" s="246" t="b">
        <v>0</v>
      </c>
      <c r="H181" s="246" t="b">
        <v>0</v>
      </c>
      <c r="I181" s="246" t="b">
        <v>0</v>
      </c>
      <c r="J181" s="247"/>
    </row>
    <row r="182" spans="1:10">
      <c r="A182" s="243" t="s">
        <v>85</v>
      </c>
      <c r="B182" s="243" t="s">
        <v>72</v>
      </c>
      <c r="C182" s="244" t="s">
        <v>541</v>
      </c>
      <c r="D182" s="245" t="b">
        <v>1</v>
      </c>
      <c r="E182" s="245" t="b">
        <v>0</v>
      </c>
      <c r="F182" s="246" t="b">
        <v>0</v>
      </c>
      <c r="G182" s="246" t="b">
        <v>0</v>
      </c>
      <c r="H182" s="246" t="b">
        <v>0</v>
      </c>
      <c r="I182" s="246" t="b">
        <v>0</v>
      </c>
      <c r="J182" s="247"/>
    </row>
    <row r="183" spans="1:10">
      <c r="A183" s="243" t="s">
        <v>86</v>
      </c>
      <c r="B183" s="243" t="s">
        <v>72</v>
      </c>
      <c r="C183" s="244" t="s">
        <v>542</v>
      </c>
      <c r="D183" s="245" t="b">
        <v>1</v>
      </c>
      <c r="E183" s="245" t="b">
        <v>0</v>
      </c>
      <c r="F183" s="246" t="b">
        <v>0</v>
      </c>
      <c r="G183" s="246" t="b">
        <v>0</v>
      </c>
      <c r="H183" s="246" t="b">
        <v>0</v>
      </c>
      <c r="I183" s="246" t="b">
        <v>0</v>
      </c>
      <c r="J183" s="247"/>
    </row>
    <row r="184" spans="1:10">
      <c r="A184" s="243" t="s">
        <v>87</v>
      </c>
      <c r="B184" s="243" t="s">
        <v>72</v>
      </c>
      <c r="C184" s="244" t="s">
        <v>543</v>
      </c>
      <c r="D184" s="245" t="b">
        <v>1</v>
      </c>
      <c r="E184" s="245" t="b">
        <v>0</v>
      </c>
      <c r="F184" s="246" t="b">
        <v>0</v>
      </c>
      <c r="G184" s="246" t="b">
        <v>0</v>
      </c>
      <c r="H184" s="246" t="b">
        <v>0</v>
      </c>
      <c r="I184" s="246" t="b">
        <v>0</v>
      </c>
      <c r="J184" s="247"/>
    </row>
    <row r="185" spans="1:10">
      <c r="A185" s="243" t="s">
        <v>88</v>
      </c>
      <c r="B185" s="243" t="s">
        <v>72</v>
      </c>
      <c r="C185" s="244" t="s">
        <v>544</v>
      </c>
      <c r="D185" s="245" t="b">
        <v>1</v>
      </c>
      <c r="E185" s="245" t="b">
        <v>0</v>
      </c>
      <c r="F185" s="246" t="b">
        <v>0</v>
      </c>
      <c r="G185" s="246" t="b">
        <v>0</v>
      </c>
      <c r="H185" s="246" t="b">
        <v>0</v>
      </c>
      <c r="I185" s="246" t="b">
        <v>0</v>
      </c>
      <c r="J185" s="247"/>
    </row>
    <row r="186" spans="1:10">
      <c r="A186" s="243" t="s">
        <v>89</v>
      </c>
      <c r="B186" s="243" t="s">
        <v>72</v>
      </c>
      <c r="C186" s="244" t="s">
        <v>545</v>
      </c>
      <c r="D186" s="245" t="b">
        <v>1</v>
      </c>
      <c r="E186" s="245" t="b">
        <v>0</v>
      </c>
      <c r="F186" s="246" t="b">
        <v>0</v>
      </c>
      <c r="G186" s="246" t="b">
        <v>0</v>
      </c>
      <c r="H186" s="246" t="b">
        <v>0</v>
      </c>
      <c r="I186" s="246" t="b">
        <v>0</v>
      </c>
      <c r="J186" s="247"/>
    </row>
    <row r="187" spans="1:10">
      <c r="A187" s="243" t="s">
        <v>90</v>
      </c>
      <c r="B187" s="243" t="s">
        <v>72</v>
      </c>
      <c r="C187" s="244" t="s">
        <v>546</v>
      </c>
      <c r="D187" s="245" t="b">
        <v>1</v>
      </c>
      <c r="E187" s="245" t="b">
        <v>0</v>
      </c>
      <c r="F187" s="246" t="b">
        <v>0</v>
      </c>
      <c r="G187" s="246" t="b">
        <v>0</v>
      </c>
      <c r="H187" s="246" t="b">
        <v>0</v>
      </c>
      <c r="I187" s="246" t="b">
        <v>0</v>
      </c>
      <c r="J187" s="247"/>
    </row>
    <row r="188" spans="1:10">
      <c r="A188" s="243" t="s">
        <v>91</v>
      </c>
      <c r="B188" s="243" t="s">
        <v>72</v>
      </c>
      <c r="C188" s="244" t="s">
        <v>547</v>
      </c>
      <c r="D188" s="245" t="b">
        <v>1</v>
      </c>
      <c r="E188" s="245" t="b">
        <v>0</v>
      </c>
      <c r="F188" s="246" t="b">
        <v>0</v>
      </c>
      <c r="G188" s="246" t="b">
        <v>0</v>
      </c>
      <c r="H188" s="246" t="b">
        <v>0</v>
      </c>
      <c r="I188" s="246" t="b">
        <v>0</v>
      </c>
      <c r="J188" s="247"/>
    </row>
    <row r="189" spans="1:10">
      <c r="A189" s="243" t="s">
        <v>92</v>
      </c>
      <c r="B189" s="243" t="s">
        <v>72</v>
      </c>
      <c r="C189" s="244" t="s">
        <v>548</v>
      </c>
      <c r="D189" s="245" t="b">
        <v>1</v>
      </c>
      <c r="E189" s="245" t="b">
        <v>0</v>
      </c>
      <c r="F189" s="246" t="b">
        <v>0</v>
      </c>
      <c r="G189" s="246" t="b">
        <v>0</v>
      </c>
      <c r="H189" s="246" t="b">
        <v>0</v>
      </c>
      <c r="I189" s="246" t="b">
        <v>0</v>
      </c>
      <c r="J189" s="247"/>
    </row>
    <row r="190" spans="1:10">
      <c r="A190" s="243" t="s">
        <v>93</v>
      </c>
      <c r="B190" s="243" t="s">
        <v>72</v>
      </c>
      <c r="C190" s="244" t="s">
        <v>549</v>
      </c>
      <c r="D190" s="245" t="b">
        <v>1</v>
      </c>
      <c r="E190" s="245" t="b">
        <v>0</v>
      </c>
      <c r="F190" s="246" t="b">
        <v>0</v>
      </c>
      <c r="G190" s="246" t="b">
        <v>0</v>
      </c>
      <c r="H190" s="246" t="b">
        <v>0</v>
      </c>
      <c r="I190" s="246" t="b">
        <v>0</v>
      </c>
      <c r="J190" s="247"/>
    </row>
    <row r="191" spans="1:10">
      <c r="A191" s="243" t="s">
        <v>94</v>
      </c>
      <c r="B191" s="243" t="s">
        <v>72</v>
      </c>
      <c r="C191" s="244" t="s">
        <v>550</v>
      </c>
      <c r="D191" s="245" t="b">
        <v>1</v>
      </c>
      <c r="E191" s="245" t="b">
        <v>0</v>
      </c>
      <c r="F191" s="246" t="b">
        <v>0</v>
      </c>
      <c r="G191" s="246" t="b">
        <v>0</v>
      </c>
      <c r="H191" s="246" t="b">
        <v>0</v>
      </c>
      <c r="I191" s="246" t="b">
        <v>0</v>
      </c>
      <c r="J191" s="247"/>
    </row>
    <row r="192" spans="1:10">
      <c r="A192" s="243" t="s">
        <v>95</v>
      </c>
      <c r="B192" s="243" t="s">
        <v>72</v>
      </c>
      <c r="C192" s="244" t="s">
        <v>551</v>
      </c>
      <c r="D192" s="245" t="b">
        <v>1</v>
      </c>
      <c r="E192" s="245" t="b">
        <v>0</v>
      </c>
      <c r="F192" s="246" t="b">
        <v>0</v>
      </c>
      <c r="G192" s="246" t="b">
        <v>0</v>
      </c>
      <c r="H192" s="246" t="b">
        <v>0</v>
      </c>
      <c r="I192" s="246" t="b">
        <v>0</v>
      </c>
      <c r="J192" s="247"/>
    </row>
    <row r="193" spans="1:10">
      <c r="A193" s="243" t="s">
        <v>96</v>
      </c>
      <c r="B193" s="243" t="s">
        <v>72</v>
      </c>
      <c r="C193" s="244" t="s">
        <v>552</v>
      </c>
      <c r="D193" s="245" t="b">
        <v>1</v>
      </c>
      <c r="E193" s="245" t="b">
        <v>0</v>
      </c>
      <c r="F193" s="246" t="b">
        <v>0</v>
      </c>
      <c r="G193" s="246" t="b">
        <v>0</v>
      </c>
      <c r="H193" s="246" t="b">
        <v>0</v>
      </c>
      <c r="I193" s="246" t="b">
        <v>0</v>
      </c>
      <c r="J193" s="247"/>
    </row>
    <row r="194" spans="1:10">
      <c r="A194" s="243" t="s">
        <v>97</v>
      </c>
      <c r="B194" s="243" t="s">
        <v>72</v>
      </c>
      <c r="C194" s="244" t="s">
        <v>553</v>
      </c>
      <c r="D194" s="245" t="b">
        <v>1</v>
      </c>
      <c r="E194" s="245" t="b">
        <v>0</v>
      </c>
      <c r="F194" s="246" t="b">
        <v>0</v>
      </c>
      <c r="G194" s="246" t="b">
        <v>0</v>
      </c>
      <c r="H194" s="246" t="b">
        <v>0</v>
      </c>
      <c r="I194" s="246" t="b">
        <v>0</v>
      </c>
      <c r="J194" s="247"/>
    </row>
    <row r="195" spans="1:10">
      <c r="A195" s="243" t="s">
        <v>98</v>
      </c>
      <c r="B195" s="243" t="s">
        <v>72</v>
      </c>
      <c r="C195" s="244" t="s">
        <v>554</v>
      </c>
      <c r="D195" s="245" t="b">
        <v>1</v>
      </c>
      <c r="E195" s="245" t="b">
        <v>0</v>
      </c>
      <c r="F195" s="246" t="b">
        <v>0</v>
      </c>
      <c r="G195" s="246" t="b">
        <v>0</v>
      </c>
      <c r="H195" s="246" t="b">
        <v>0</v>
      </c>
      <c r="I195" s="246" t="b">
        <v>0</v>
      </c>
      <c r="J195" s="247"/>
    </row>
    <row r="196" spans="1:10">
      <c r="A196" s="256" t="s">
        <v>1063</v>
      </c>
      <c r="B196" s="243" t="s">
        <v>72</v>
      </c>
      <c r="C196" s="257" t="s">
        <v>1109</v>
      </c>
      <c r="D196" s="245" t="b">
        <v>1</v>
      </c>
      <c r="E196" s="245" t="b">
        <v>0</v>
      </c>
      <c r="F196" s="246" t="b">
        <v>0</v>
      </c>
      <c r="G196" s="246" t="b">
        <v>0</v>
      </c>
      <c r="H196" s="246" t="b">
        <v>0</v>
      </c>
      <c r="I196" s="246" t="b">
        <v>0</v>
      </c>
      <c r="J196" s="247"/>
    </row>
    <row r="197" spans="1:10">
      <c r="A197" s="243" t="s">
        <v>99</v>
      </c>
      <c r="B197" s="243" t="s">
        <v>72</v>
      </c>
      <c r="C197" s="244" t="s">
        <v>555</v>
      </c>
      <c r="D197" s="245" t="b">
        <v>1</v>
      </c>
      <c r="E197" s="245" t="b">
        <v>0</v>
      </c>
      <c r="F197" s="246" t="b">
        <v>0</v>
      </c>
      <c r="G197" s="246" t="b">
        <v>0</v>
      </c>
      <c r="H197" s="246" t="b">
        <v>0</v>
      </c>
      <c r="I197" s="246" t="b">
        <v>0</v>
      </c>
      <c r="J197" s="247"/>
    </row>
    <row r="198" spans="1:10">
      <c r="A198" s="243" t="s">
        <v>201</v>
      </c>
      <c r="B198" s="243" t="s">
        <v>72</v>
      </c>
      <c r="C198" s="244" t="s">
        <v>556</v>
      </c>
      <c r="D198" s="245" t="b">
        <v>1</v>
      </c>
      <c r="E198" s="245" t="b">
        <v>0</v>
      </c>
      <c r="F198" s="246" t="b">
        <v>0</v>
      </c>
      <c r="G198" s="246" t="b">
        <v>0</v>
      </c>
      <c r="H198" s="246" t="b">
        <v>0</v>
      </c>
      <c r="I198" s="246" t="b">
        <v>0</v>
      </c>
      <c r="J198" s="247"/>
    </row>
    <row r="199" spans="1:10">
      <c r="A199" s="243" t="s">
        <v>202</v>
      </c>
      <c r="B199" s="243" t="s">
        <v>72</v>
      </c>
      <c r="C199" s="244" t="s">
        <v>557</v>
      </c>
      <c r="D199" s="245" t="b">
        <v>1</v>
      </c>
      <c r="E199" s="245" t="b">
        <v>0</v>
      </c>
      <c r="F199" s="246" t="b">
        <v>0</v>
      </c>
      <c r="G199" s="246" t="b">
        <v>0</v>
      </c>
      <c r="H199" s="246" t="b">
        <v>0</v>
      </c>
      <c r="I199" s="246" t="b">
        <v>0</v>
      </c>
      <c r="J199" s="247"/>
    </row>
    <row r="200" spans="1:10">
      <c r="A200" s="243" t="s">
        <v>203</v>
      </c>
      <c r="B200" s="243" t="s">
        <v>72</v>
      </c>
      <c r="C200" s="244" t="s">
        <v>558</v>
      </c>
      <c r="D200" s="245" t="b">
        <v>1</v>
      </c>
      <c r="E200" s="245" t="b">
        <v>0</v>
      </c>
      <c r="F200" s="246" t="b">
        <v>0</v>
      </c>
      <c r="G200" s="246" t="b">
        <v>0</v>
      </c>
      <c r="H200" s="246" t="b">
        <v>0</v>
      </c>
      <c r="I200" s="246" t="b">
        <v>0</v>
      </c>
      <c r="J200" s="247"/>
    </row>
    <row r="201" spans="1:10">
      <c r="A201" s="243" t="s">
        <v>10</v>
      </c>
      <c r="B201" s="243" t="s">
        <v>72</v>
      </c>
      <c r="C201" s="244" t="s">
        <v>559</v>
      </c>
      <c r="D201" s="245" t="b">
        <v>1</v>
      </c>
      <c r="E201" s="245" t="b">
        <v>0</v>
      </c>
      <c r="F201" s="246" t="b">
        <v>0</v>
      </c>
      <c r="G201" s="246" t="b">
        <v>0</v>
      </c>
      <c r="H201" s="246" t="b">
        <v>0</v>
      </c>
      <c r="I201" s="246" t="b">
        <v>0</v>
      </c>
      <c r="J201" s="247"/>
    </row>
    <row r="202" spans="1:10">
      <c r="A202" s="243" t="s">
        <v>11</v>
      </c>
      <c r="B202" s="243" t="s">
        <v>72</v>
      </c>
      <c r="C202" s="244" t="s">
        <v>560</v>
      </c>
      <c r="D202" s="245" t="b">
        <v>1</v>
      </c>
      <c r="E202" s="245" t="b">
        <v>0</v>
      </c>
      <c r="F202" s="246" t="b">
        <v>0</v>
      </c>
      <c r="G202" s="246" t="b">
        <v>0</v>
      </c>
      <c r="H202" s="246" t="b">
        <v>0</v>
      </c>
      <c r="I202" s="246" t="b">
        <v>0</v>
      </c>
      <c r="J202" s="247"/>
    </row>
    <row r="203" spans="1:10">
      <c r="A203" s="243" t="s">
        <v>561</v>
      </c>
      <c r="B203" s="243" t="s">
        <v>72</v>
      </c>
      <c r="C203" s="244" t="s">
        <v>562</v>
      </c>
      <c r="D203" s="245" t="b">
        <v>1</v>
      </c>
      <c r="E203" s="245" t="b">
        <v>0</v>
      </c>
      <c r="F203" s="246" t="b">
        <v>0</v>
      </c>
      <c r="G203" s="246" t="b">
        <v>0</v>
      </c>
      <c r="H203" s="246" t="b">
        <v>0</v>
      </c>
      <c r="I203" s="246" t="b">
        <v>0</v>
      </c>
      <c r="J203" s="247"/>
    </row>
    <row r="204" spans="1:10">
      <c r="A204" s="243" t="s">
        <v>763</v>
      </c>
      <c r="B204" s="243" t="s">
        <v>72</v>
      </c>
      <c r="C204" s="244" t="s">
        <v>764</v>
      </c>
      <c r="D204" s="245" t="b">
        <v>1</v>
      </c>
      <c r="E204" s="245" t="b">
        <v>0</v>
      </c>
      <c r="F204" s="246" t="b">
        <v>0</v>
      </c>
      <c r="G204" s="246" t="b">
        <v>0</v>
      </c>
      <c r="H204" s="246" t="b">
        <v>0</v>
      </c>
      <c r="I204" s="246" t="b">
        <v>0</v>
      </c>
      <c r="J204" s="247"/>
    </row>
    <row r="205" spans="1:10">
      <c r="A205" s="243" t="s">
        <v>765</v>
      </c>
      <c r="B205" s="243" t="s">
        <v>72</v>
      </c>
      <c r="C205" s="244" t="s">
        <v>766</v>
      </c>
      <c r="D205" s="245" t="b">
        <v>1</v>
      </c>
      <c r="E205" s="245" t="b">
        <v>0</v>
      </c>
      <c r="F205" s="246" t="b">
        <v>0</v>
      </c>
      <c r="G205" s="246" t="b">
        <v>0</v>
      </c>
      <c r="H205" s="246" t="b">
        <v>0</v>
      </c>
      <c r="I205" s="246" t="b">
        <v>0</v>
      </c>
      <c r="J205" s="247"/>
    </row>
    <row r="206" spans="1:10">
      <c r="A206" s="243" t="s">
        <v>767</v>
      </c>
      <c r="B206" s="243" t="s">
        <v>72</v>
      </c>
      <c r="C206" s="244" t="s">
        <v>768</v>
      </c>
      <c r="D206" s="245" t="b">
        <v>1</v>
      </c>
      <c r="E206" s="245" t="b">
        <v>0</v>
      </c>
      <c r="F206" s="246" t="b">
        <v>0</v>
      </c>
      <c r="G206" s="246" t="b">
        <v>0</v>
      </c>
      <c r="H206" s="246" t="b">
        <v>0</v>
      </c>
      <c r="I206" s="246" t="b">
        <v>0</v>
      </c>
      <c r="J206" s="247"/>
    </row>
    <row r="207" spans="1:10">
      <c r="A207" s="256" t="s">
        <v>1064</v>
      </c>
      <c r="B207" s="243" t="s">
        <v>72</v>
      </c>
      <c r="C207" s="158" t="s">
        <v>1110</v>
      </c>
      <c r="D207" s="245" t="b">
        <v>1</v>
      </c>
      <c r="E207" s="245" t="b">
        <v>0</v>
      </c>
      <c r="F207" s="246" t="b">
        <v>0</v>
      </c>
      <c r="G207" s="246" t="b">
        <v>0</v>
      </c>
      <c r="H207" s="246" t="b">
        <v>0</v>
      </c>
      <c r="I207" s="246" t="b">
        <v>0</v>
      </c>
      <c r="J207" s="247"/>
    </row>
    <row r="208" spans="1:10">
      <c r="A208" s="256" t="s">
        <v>1065</v>
      </c>
      <c r="B208" s="243" t="s">
        <v>72</v>
      </c>
      <c r="C208" s="257" t="s">
        <v>1111</v>
      </c>
      <c r="D208" s="245" t="b">
        <v>1</v>
      </c>
      <c r="E208" s="245" t="b">
        <v>0</v>
      </c>
      <c r="F208" s="246" t="b">
        <v>0</v>
      </c>
      <c r="G208" s="246" t="b">
        <v>0</v>
      </c>
      <c r="H208" s="246" t="b">
        <v>0</v>
      </c>
      <c r="I208" s="246" t="b">
        <v>0</v>
      </c>
      <c r="J208" s="247"/>
    </row>
    <row r="209" spans="1:10" ht="15">
      <c r="A209" s="256" t="s">
        <v>1153</v>
      </c>
      <c r="B209" s="243" t="s">
        <v>72</v>
      </c>
      <c r="C209" s="239" t="s">
        <v>1109</v>
      </c>
      <c r="D209" s="245" t="b">
        <v>1</v>
      </c>
      <c r="E209" s="245" t="b">
        <v>0</v>
      </c>
      <c r="F209" s="246" t="b">
        <v>0</v>
      </c>
      <c r="G209" s="246" t="b">
        <v>0</v>
      </c>
      <c r="H209" s="246" t="b">
        <v>0</v>
      </c>
      <c r="I209" s="246" t="b">
        <v>0</v>
      </c>
      <c r="J209" s="247"/>
    </row>
    <row r="210" spans="1:10">
      <c r="A210" s="243" t="s">
        <v>563</v>
      </c>
      <c r="B210" s="243" t="s">
        <v>101</v>
      </c>
      <c r="C210" s="244" t="s">
        <v>101</v>
      </c>
      <c r="D210" s="245" t="b">
        <v>0</v>
      </c>
      <c r="E210" s="245" t="b">
        <v>0</v>
      </c>
      <c r="F210" s="246" t="b">
        <v>1</v>
      </c>
      <c r="G210" s="246" t="b">
        <v>0</v>
      </c>
      <c r="H210" s="246" t="b">
        <v>0</v>
      </c>
      <c r="I210" s="246" t="b">
        <v>0</v>
      </c>
      <c r="J210" s="247"/>
    </row>
    <row r="211" spans="1:10">
      <c r="A211" s="243" t="s">
        <v>564</v>
      </c>
      <c r="B211" s="243" t="s">
        <v>101</v>
      </c>
      <c r="C211" s="244" t="s">
        <v>565</v>
      </c>
      <c r="D211" s="245" t="b">
        <v>0</v>
      </c>
      <c r="E211" s="245" t="b">
        <v>0</v>
      </c>
      <c r="F211" s="246" t="b">
        <v>0</v>
      </c>
      <c r="G211" s="246" t="b">
        <v>0</v>
      </c>
      <c r="H211" s="246" t="b">
        <v>1</v>
      </c>
      <c r="I211" s="246" t="b">
        <v>0</v>
      </c>
      <c r="J211" s="247"/>
    </row>
    <row r="212" spans="1:10">
      <c r="A212" s="243" t="s">
        <v>566</v>
      </c>
      <c r="B212" s="243" t="s">
        <v>101</v>
      </c>
      <c r="C212" s="244" t="s">
        <v>567</v>
      </c>
      <c r="D212" s="245" t="b">
        <v>1</v>
      </c>
      <c r="E212" s="245" t="b">
        <v>0</v>
      </c>
      <c r="F212" s="246" t="b">
        <v>0</v>
      </c>
      <c r="G212" s="246" t="b">
        <v>0</v>
      </c>
      <c r="H212" s="246" t="b">
        <v>0</v>
      </c>
      <c r="I212" s="246" t="b">
        <v>0</v>
      </c>
      <c r="J212" s="247"/>
    </row>
    <row r="213" spans="1:10">
      <c r="A213" s="243" t="s">
        <v>568</v>
      </c>
      <c r="B213" s="243" t="s">
        <v>101</v>
      </c>
      <c r="C213" s="244" t="s">
        <v>569</v>
      </c>
      <c r="D213" s="245" t="b">
        <v>1</v>
      </c>
      <c r="E213" s="245" t="b">
        <v>0</v>
      </c>
      <c r="F213" s="246" t="b">
        <v>0</v>
      </c>
      <c r="G213" s="246" t="b">
        <v>0</v>
      </c>
      <c r="H213" s="246" t="b">
        <v>0</v>
      </c>
      <c r="I213" s="246" t="b">
        <v>0</v>
      </c>
      <c r="J213" s="247"/>
    </row>
    <row r="214" spans="1:10">
      <c r="A214" s="243" t="s">
        <v>150</v>
      </c>
      <c r="B214" s="243" t="s">
        <v>570</v>
      </c>
      <c r="C214" s="244" t="s">
        <v>570</v>
      </c>
      <c r="D214" s="245" t="b">
        <v>0</v>
      </c>
      <c r="E214" s="245" t="b">
        <v>0</v>
      </c>
      <c r="F214" s="246" t="b">
        <v>1</v>
      </c>
      <c r="G214" s="246" t="b">
        <v>0</v>
      </c>
      <c r="H214" s="246" t="b">
        <v>0</v>
      </c>
      <c r="I214" s="246" t="b">
        <v>0</v>
      </c>
      <c r="J214" s="247"/>
    </row>
    <row r="215" spans="1:10">
      <c r="A215" s="243" t="s">
        <v>571</v>
      </c>
      <c r="B215" s="243" t="s">
        <v>570</v>
      </c>
      <c r="C215" s="244" t="s">
        <v>572</v>
      </c>
      <c r="D215" s="245" t="b">
        <v>1</v>
      </c>
      <c r="E215" s="245" t="b">
        <v>0</v>
      </c>
      <c r="F215" s="246" t="b">
        <v>0</v>
      </c>
      <c r="G215" s="246" t="b">
        <v>0</v>
      </c>
      <c r="H215" s="246" t="b">
        <v>0</v>
      </c>
      <c r="I215" s="246" t="b">
        <v>0</v>
      </c>
      <c r="J215" s="247"/>
    </row>
    <row r="216" spans="1:10">
      <c r="A216" s="243" t="s">
        <v>573</v>
      </c>
      <c r="B216" s="243" t="s">
        <v>570</v>
      </c>
      <c r="C216" s="244" t="s">
        <v>574</v>
      </c>
      <c r="D216" s="245" t="b">
        <v>1</v>
      </c>
      <c r="E216" s="245" t="b">
        <v>0</v>
      </c>
      <c r="F216" s="246" t="b">
        <v>0</v>
      </c>
      <c r="G216" s="246" t="b">
        <v>0</v>
      </c>
      <c r="H216" s="246" t="b">
        <v>0</v>
      </c>
      <c r="I216" s="246" t="b">
        <v>0</v>
      </c>
      <c r="J216" s="247"/>
    </row>
    <row r="217" spans="1:10">
      <c r="A217" s="243" t="s">
        <v>575</v>
      </c>
      <c r="B217" s="243" t="s">
        <v>570</v>
      </c>
      <c r="C217" s="244" t="s">
        <v>576</v>
      </c>
      <c r="D217" s="245" t="b">
        <v>1</v>
      </c>
      <c r="E217" s="245" t="b">
        <v>0</v>
      </c>
      <c r="F217" s="246" t="b">
        <v>0</v>
      </c>
      <c r="G217" s="246" t="b">
        <v>0</v>
      </c>
      <c r="H217" s="246" t="b">
        <v>0</v>
      </c>
      <c r="I217" s="246" t="b">
        <v>0</v>
      </c>
      <c r="J217" s="247"/>
    </row>
    <row r="218" spans="1:10">
      <c r="A218" s="243" t="s">
        <v>577</v>
      </c>
      <c r="B218" s="243" t="s">
        <v>570</v>
      </c>
      <c r="C218" s="244" t="s">
        <v>578</v>
      </c>
      <c r="D218" s="245" t="b">
        <v>1</v>
      </c>
      <c r="E218" s="245" t="b">
        <v>0</v>
      </c>
      <c r="F218" s="246" t="b">
        <v>0</v>
      </c>
      <c r="G218" s="246" t="b">
        <v>0</v>
      </c>
      <c r="H218" s="246" t="b">
        <v>0</v>
      </c>
      <c r="I218" s="246" t="b">
        <v>0</v>
      </c>
      <c r="J218" s="247"/>
    </row>
    <row r="219" spans="1:10">
      <c r="A219" s="243" t="s">
        <v>579</v>
      </c>
      <c r="B219" s="243" t="s">
        <v>570</v>
      </c>
      <c r="C219" s="244" t="s">
        <v>580</v>
      </c>
      <c r="D219" s="245" t="b">
        <v>1</v>
      </c>
      <c r="E219" s="245" t="b">
        <v>0</v>
      </c>
      <c r="F219" s="246" t="b">
        <v>0</v>
      </c>
      <c r="G219" s="246" t="b">
        <v>0</v>
      </c>
      <c r="H219" s="246" t="b">
        <v>0</v>
      </c>
      <c r="I219" s="246" t="b">
        <v>0</v>
      </c>
      <c r="J219" s="247"/>
    </row>
    <row r="220" spans="1:10">
      <c r="A220" s="243" t="s">
        <v>581</v>
      </c>
      <c r="B220" s="243" t="s">
        <v>570</v>
      </c>
      <c r="C220" s="244" t="s">
        <v>582</v>
      </c>
      <c r="D220" s="245" t="b">
        <v>1</v>
      </c>
      <c r="E220" s="245" t="b">
        <v>0</v>
      </c>
      <c r="F220" s="246" t="b">
        <v>0</v>
      </c>
      <c r="G220" s="246" t="b">
        <v>0</v>
      </c>
      <c r="H220" s="246" t="b">
        <v>0</v>
      </c>
      <c r="I220" s="246" t="b">
        <v>0</v>
      </c>
      <c r="J220" s="247"/>
    </row>
    <row r="221" spans="1:10">
      <c r="A221" s="256" t="s">
        <v>1066</v>
      </c>
      <c r="B221" s="243" t="s">
        <v>570</v>
      </c>
      <c r="C221" s="257" t="s">
        <v>1112</v>
      </c>
      <c r="D221" s="245" t="b">
        <v>1</v>
      </c>
      <c r="E221" s="245" t="b">
        <v>0</v>
      </c>
      <c r="F221" s="246" t="b">
        <v>0</v>
      </c>
      <c r="G221" s="246" t="b">
        <v>0</v>
      </c>
      <c r="H221" s="246" t="b">
        <v>0</v>
      </c>
      <c r="I221" s="246" t="b">
        <v>0</v>
      </c>
      <c r="J221" s="247"/>
    </row>
    <row r="222" spans="1:10">
      <c r="A222" s="243" t="s">
        <v>151</v>
      </c>
      <c r="B222" s="243" t="s">
        <v>570</v>
      </c>
      <c r="C222" s="244" t="s">
        <v>583</v>
      </c>
      <c r="D222" s="245" t="b">
        <v>1</v>
      </c>
      <c r="E222" s="245" t="b">
        <v>0</v>
      </c>
      <c r="F222" s="246" t="b">
        <v>0</v>
      </c>
      <c r="G222" s="246" t="b">
        <v>0</v>
      </c>
      <c r="H222" s="246" t="b">
        <v>0</v>
      </c>
      <c r="I222" s="246" t="b">
        <v>0</v>
      </c>
      <c r="J222" s="247"/>
    </row>
    <row r="223" spans="1:10">
      <c r="A223" s="243" t="s">
        <v>584</v>
      </c>
      <c r="B223" s="243" t="s">
        <v>570</v>
      </c>
      <c r="C223" s="244" t="s">
        <v>585</v>
      </c>
      <c r="D223" s="245" t="b">
        <v>1</v>
      </c>
      <c r="E223" s="245" t="b">
        <v>0</v>
      </c>
      <c r="F223" s="246" t="b">
        <v>0</v>
      </c>
      <c r="G223" s="246" t="b">
        <v>0</v>
      </c>
      <c r="H223" s="246" t="b">
        <v>0</v>
      </c>
      <c r="I223" s="246" t="b">
        <v>0</v>
      </c>
      <c r="J223" s="247"/>
    </row>
    <row r="224" spans="1:10">
      <c r="A224" s="243" t="s">
        <v>586</v>
      </c>
      <c r="B224" s="243" t="s">
        <v>570</v>
      </c>
      <c r="C224" s="244" t="s">
        <v>587</v>
      </c>
      <c r="D224" s="245" t="b">
        <v>1</v>
      </c>
      <c r="E224" s="245" t="b">
        <v>0</v>
      </c>
      <c r="F224" s="246" t="b">
        <v>0</v>
      </c>
      <c r="G224" s="246" t="b">
        <v>0</v>
      </c>
      <c r="H224" s="246" t="b">
        <v>0</v>
      </c>
      <c r="I224" s="246" t="b">
        <v>0</v>
      </c>
      <c r="J224" s="247"/>
    </row>
    <row r="225" spans="1:10">
      <c r="A225" s="243" t="s">
        <v>588</v>
      </c>
      <c r="B225" s="243" t="s">
        <v>570</v>
      </c>
      <c r="C225" s="244" t="s">
        <v>589</v>
      </c>
      <c r="D225" s="245" t="b">
        <v>1</v>
      </c>
      <c r="E225" s="245" t="b">
        <v>0</v>
      </c>
      <c r="F225" s="246" t="b">
        <v>0</v>
      </c>
      <c r="G225" s="246" t="b">
        <v>0</v>
      </c>
      <c r="H225" s="246" t="b">
        <v>0</v>
      </c>
      <c r="I225" s="246" t="b">
        <v>0</v>
      </c>
      <c r="J225" s="247"/>
    </row>
    <row r="226" spans="1:10">
      <c r="A226" s="256" t="s">
        <v>1067</v>
      </c>
      <c r="B226" s="243" t="s">
        <v>570</v>
      </c>
      <c r="C226" s="158" t="s">
        <v>1113</v>
      </c>
      <c r="D226" s="245" t="b">
        <v>1</v>
      </c>
      <c r="E226" s="245" t="b">
        <v>0</v>
      </c>
      <c r="F226" s="246" t="b">
        <v>0</v>
      </c>
      <c r="G226" s="246" t="b">
        <v>0</v>
      </c>
      <c r="H226" s="246" t="b">
        <v>0</v>
      </c>
      <c r="I226" s="246" t="b">
        <v>0</v>
      </c>
      <c r="J226" s="247"/>
    </row>
    <row r="227" spans="1:10">
      <c r="A227" s="243" t="s">
        <v>152</v>
      </c>
      <c r="B227" s="243" t="s">
        <v>570</v>
      </c>
      <c r="C227" s="244" t="s">
        <v>590</v>
      </c>
      <c r="D227" s="245" t="b">
        <v>1</v>
      </c>
      <c r="E227" s="245" t="b">
        <v>0</v>
      </c>
      <c r="F227" s="246" t="b">
        <v>0</v>
      </c>
      <c r="G227" s="246" t="b">
        <v>0</v>
      </c>
      <c r="H227" s="246" t="b">
        <v>0</v>
      </c>
      <c r="I227" s="246" t="b">
        <v>0</v>
      </c>
      <c r="J227" s="247"/>
    </row>
    <row r="228" spans="1:10">
      <c r="A228" s="243" t="s">
        <v>591</v>
      </c>
      <c r="B228" s="243" t="s">
        <v>570</v>
      </c>
      <c r="C228" s="244" t="s">
        <v>592</v>
      </c>
      <c r="D228" s="245" t="b">
        <v>1</v>
      </c>
      <c r="E228" s="245" t="b">
        <v>0</v>
      </c>
      <c r="F228" s="246" t="b">
        <v>0</v>
      </c>
      <c r="G228" s="246" t="b">
        <v>0</v>
      </c>
      <c r="H228" s="246" t="b">
        <v>0</v>
      </c>
      <c r="I228" s="246" t="b">
        <v>0</v>
      </c>
      <c r="J228" s="247"/>
    </row>
    <row r="229" spans="1:10">
      <c r="A229" s="243" t="s">
        <v>593</v>
      </c>
      <c r="B229" s="243" t="s">
        <v>570</v>
      </c>
      <c r="C229" s="244" t="s">
        <v>594</v>
      </c>
      <c r="D229" s="245" t="b">
        <v>1</v>
      </c>
      <c r="E229" s="245" t="b">
        <v>0</v>
      </c>
      <c r="F229" s="246" t="b">
        <v>0</v>
      </c>
      <c r="G229" s="246" t="b">
        <v>0</v>
      </c>
      <c r="H229" s="246" t="b">
        <v>0</v>
      </c>
      <c r="I229" s="246" t="b">
        <v>0</v>
      </c>
      <c r="J229" s="247"/>
    </row>
    <row r="230" spans="1:10">
      <c r="A230" s="243" t="s">
        <v>769</v>
      </c>
      <c r="B230" s="243" t="s">
        <v>570</v>
      </c>
      <c r="C230" s="244" t="s">
        <v>770</v>
      </c>
      <c r="D230" s="245" t="b">
        <v>1</v>
      </c>
      <c r="E230" s="245" t="b">
        <v>0</v>
      </c>
      <c r="F230" s="246" t="b">
        <v>0</v>
      </c>
      <c r="G230" s="246" t="b">
        <v>0</v>
      </c>
      <c r="H230" s="246" t="b">
        <v>0</v>
      </c>
      <c r="I230" s="246" t="b">
        <v>0</v>
      </c>
      <c r="J230" s="247"/>
    </row>
    <row r="231" spans="1:10">
      <c r="A231" s="259" t="s">
        <v>1068</v>
      </c>
      <c r="B231" s="243" t="s">
        <v>570</v>
      </c>
      <c r="C231" s="158" t="s">
        <v>1114</v>
      </c>
      <c r="D231" s="245" t="b">
        <v>1</v>
      </c>
      <c r="E231" s="245" t="b">
        <v>0</v>
      </c>
      <c r="F231" s="246" t="b">
        <v>0</v>
      </c>
      <c r="G231" s="246" t="b">
        <v>0</v>
      </c>
      <c r="H231" s="246" t="b">
        <v>0</v>
      </c>
      <c r="I231" s="246" t="b">
        <v>0</v>
      </c>
      <c r="J231" s="247"/>
    </row>
    <row r="232" spans="1:10">
      <c r="A232" s="258" t="s">
        <v>944</v>
      </c>
      <c r="B232" s="243" t="s">
        <v>154</v>
      </c>
      <c r="C232" s="257" t="s">
        <v>1115</v>
      </c>
      <c r="D232" s="245" t="b">
        <v>1</v>
      </c>
      <c r="E232" s="245" t="b">
        <v>0</v>
      </c>
      <c r="F232" s="246" t="b">
        <v>0</v>
      </c>
      <c r="G232" s="246" t="b">
        <v>0</v>
      </c>
      <c r="H232" s="246" t="b">
        <v>0</v>
      </c>
      <c r="I232" s="246" t="b">
        <v>0</v>
      </c>
      <c r="J232" s="247"/>
    </row>
    <row r="233" spans="1:10">
      <c r="A233" s="258" t="s">
        <v>1069</v>
      </c>
      <c r="B233" s="243" t="s">
        <v>154</v>
      </c>
      <c r="C233" s="257" t="s">
        <v>1116</v>
      </c>
      <c r="D233" s="245" t="b">
        <v>1</v>
      </c>
      <c r="E233" s="245" t="b">
        <v>0</v>
      </c>
      <c r="F233" s="246" t="b">
        <v>0</v>
      </c>
      <c r="G233" s="246" t="b">
        <v>0</v>
      </c>
      <c r="H233" s="246" t="b">
        <v>0</v>
      </c>
      <c r="I233" s="246" t="b">
        <v>0</v>
      </c>
      <c r="J233" s="247"/>
    </row>
    <row r="234" spans="1:10">
      <c r="A234" s="258" t="s">
        <v>1070</v>
      </c>
      <c r="B234" s="243" t="s">
        <v>154</v>
      </c>
      <c r="C234" s="257" t="s">
        <v>1117</v>
      </c>
      <c r="D234" s="245" t="b">
        <v>1</v>
      </c>
      <c r="E234" s="245" t="b">
        <v>0</v>
      </c>
      <c r="F234" s="246" t="b">
        <v>0</v>
      </c>
      <c r="G234" s="246" t="b">
        <v>0</v>
      </c>
      <c r="H234" s="246" t="b">
        <v>0</v>
      </c>
      <c r="I234" s="246" t="b">
        <v>0</v>
      </c>
      <c r="J234" s="247"/>
    </row>
    <row r="235" spans="1:10">
      <c r="A235" s="258" t="s">
        <v>1071</v>
      </c>
      <c r="B235" s="243" t="s">
        <v>108</v>
      </c>
      <c r="C235" s="158" t="s">
        <v>1118</v>
      </c>
      <c r="D235" s="245" t="b">
        <v>1</v>
      </c>
      <c r="E235" s="245" t="b">
        <v>0</v>
      </c>
      <c r="F235" s="246" t="b">
        <v>0</v>
      </c>
      <c r="G235" s="246" t="b">
        <v>0</v>
      </c>
      <c r="H235" s="246" t="b">
        <v>0</v>
      </c>
      <c r="I235" s="246" t="b">
        <v>0</v>
      </c>
      <c r="J235" s="247"/>
    </row>
    <row r="236" spans="1:10">
      <c r="A236" s="258" t="s">
        <v>1072</v>
      </c>
      <c r="B236" s="243" t="s">
        <v>154</v>
      </c>
      <c r="C236" s="257" t="s">
        <v>1119</v>
      </c>
      <c r="D236" s="245" t="b">
        <v>1</v>
      </c>
      <c r="E236" s="245" t="b">
        <v>0</v>
      </c>
      <c r="F236" s="246" t="b">
        <v>0</v>
      </c>
      <c r="G236" s="246" t="b">
        <v>0</v>
      </c>
      <c r="H236" s="246" t="b">
        <v>0</v>
      </c>
      <c r="I236" s="246" t="b">
        <v>0</v>
      </c>
      <c r="J236" s="247"/>
    </row>
    <row r="237" spans="1:10">
      <c r="A237" s="258" t="s">
        <v>1073</v>
      </c>
      <c r="B237" s="243" t="s">
        <v>154</v>
      </c>
      <c r="C237" s="158" t="s">
        <v>1120</v>
      </c>
      <c r="D237" s="245" t="b">
        <v>1</v>
      </c>
      <c r="E237" s="245" t="b">
        <v>0</v>
      </c>
      <c r="F237" s="246" t="b">
        <v>0</v>
      </c>
      <c r="G237" s="246" t="b">
        <v>0</v>
      </c>
      <c r="H237" s="246" t="b">
        <v>0</v>
      </c>
      <c r="I237" s="246" t="b">
        <v>0</v>
      </c>
      <c r="J237" s="247"/>
    </row>
    <row r="238" spans="1:10">
      <c r="A238" s="243" t="s">
        <v>100</v>
      </c>
      <c r="B238" s="243" t="s">
        <v>190</v>
      </c>
      <c r="C238" s="244" t="s">
        <v>190</v>
      </c>
      <c r="D238" s="245" t="b">
        <v>0</v>
      </c>
      <c r="E238" s="245" t="b">
        <v>0</v>
      </c>
      <c r="F238" s="246" t="b">
        <v>1</v>
      </c>
      <c r="G238" s="246" t="b">
        <v>1</v>
      </c>
      <c r="H238" s="246" t="b">
        <v>1</v>
      </c>
      <c r="I238" s="246" t="b">
        <v>1</v>
      </c>
      <c r="J238" s="247"/>
    </row>
    <row r="239" spans="1:10">
      <c r="A239" s="243" t="s">
        <v>595</v>
      </c>
      <c r="B239" s="243" t="s">
        <v>190</v>
      </c>
      <c r="C239" s="244" t="s">
        <v>191</v>
      </c>
      <c r="D239" s="245" t="b">
        <v>1</v>
      </c>
      <c r="E239" s="245" t="b">
        <v>1</v>
      </c>
      <c r="F239" s="246" t="b">
        <v>0</v>
      </c>
      <c r="G239" s="246" t="b">
        <v>0</v>
      </c>
      <c r="H239" s="246" t="b">
        <v>0</v>
      </c>
      <c r="I239" s="246" t="b">
        <v>0</v>
      </c>
      <c r="J239" s="247"/>
    </row>
    <row r="240" spans="1:10">
      <c r="A240" s="243" t="s">
        <v>596</v>
      </c>
      <c r="B240" s="243" t="s">
        <v>190</v>
      </c>
      <c r="C240" s="244" t="s">
        <v>192</v>
      </c>
      <c r="D240" s="245" t="b">
        <v>1</v>
      </c>
      <c r="E240" s="245" t="b">
        <v>1</v>
      </c>
      <c r="F240" s="246" t="b">
        <v>0</v>
      </c>
      <c r="G240" s="246" t="b">
        <v>0</v>
      </c>
      <c r="H240" s="246" t="b">
        <v>0</v>
      </c>
      <c r="I240" s="246" t="b">
        <v>0</v>
      </c>
      <c r="J240" s="247"/>
    </row>
    <row r="241" spans="1:10">
      <c r="A241" s="243" t="s">
        <v>597</v>
      </c>
      <c r="B241" s="243" t="s">
        <v>190</v>
      </c>
      <c r="C241" s="244" t="s">
        <v>598</v>
      </c>
      <c r="D241" s="245" t="b">
        <v>1</v>
      </c>
      <c r="E241" s="245" t="b">
        <v>0</v>
      </c>
      <c r="F241" s="246" t="b">
        <v>0</v>
      </c>
      <c r="G241" s="246" t="b">
        <v>0</v>
      </c>
      <c r="H241" s="246" t="b">
        <v>0</v>
      </c>
      <c r="I241" s="246" t="b">
        <v>0</v>
      </c>
      <c r="J241" s="247"/>
    </row>
    <row r="242" spans="1:10">
      <c r="A242" s="243" t="s">
        <v>102</v>
      </c>
      <c r="B242" s="243" t="s">
        <v>190</v>
      </c>
      <c r="C242" s="244" t="s">
        <v>193</v>
      </c>
      <c r="D242" s="245" t="b">
        <v>1</v>
      </c>
      <c r="E242" s="245" t="b">
        <v>1</v>
      </c>
      <c r="F242" s="246" t="b">
        <v>0</v>
      </c>
      <c r="G242" s="246" t="b">
        <v>0</v>
      </c>
      <c r="H242" s="246" t="b">
        <v>0</v>
      </c>
      <c r="I242" s="246" t="b">
        <v>0</v>
      </c>
      <c r="J242" s="247"/>
    </row>
    <row r="243" spans="1:10">
      <c r="A243" s="243" t="s">
        <v>599</v>
      </c>
      <c r="B243" s="243" t="s">
        <v>190</v>
      </c>
      <c r="C243" s="244" t="s">
        <v>600</v>
      </c>
      <c r="D243" s="245" t="b">
        <v>1</v>
      </c>
      <c r="E243" s="245" t="b">
        <v>0</v>
      </c>
      <c r="F243" s="246" t="b">
        <v>0</v>
      </c>
      <c r="G243" s="246" t="b">
        <v>0</v>
      </c>
      <c r="H243" s="246" t="b">
        <v>0</v>
      </c>
      <c r="I243" s="246" t="b">
        <v>0</v>
      </c>
      <c r="J243" s="247"/>
    </row>
    <row r="244" spans="1:10">
      <c r="A244" s="243" t="s">
        <v>103</v>
      </c>
      <c r="B244" s="243" t="s">
        <v>190</v>
      </c>
      <c r="C244" s="244" t="s">
        <v>195</v>
      </c>
      <c r="D244" s="245" t="b">
        <v>1</v>
      </c>
      <c r="E244" s="245" t="b">
        <v>0</v>
      </c>
      <c r="F244" s="246" t="b">
        <v>0</v>
      </c>
      <c r="G244" s="246" t="b">
        <v>0</v>
      </c>
      <c r="H244" s="246" t="b">
        <v>0</v>
      </c>
      <c r="I244" s="246" t="b">
        <v>0</v>
      </c>
      <c r="J244" s="247"/>
    </row>
    <row r="245" spans="1:10">
      <c r="A245" s="243" t="s">
        <v>601</v>
      </c>
      <c r="B245" s="243" t="s">
        <v>190</v>
      </c>
      <c r="C245" s="244" t="s">
        <v>196</v>
      </c>
      <c r="D245" s="245" t="b">
        <v>1</v>
      </c>
      <c r="E245" s="245" t="b">
        <v>1</v>
      </c>
      <c r="F245" s="246" t="b">
        <v>0</v>
      </c>
      <c r="G245" s="246" t="b">
        <v>0</v>
      </c>
      <c r="H245" s="246" t="b">
        <v>0</v>
      </c>
      <c r="I245" s="246" t="b">
        <v>0</v>
      </c>
      <c r="J245" s="247"/>
    </row>
    <row r="246" spans="1:10">
      <c r="A246" s="243" t="s">
        <v>104</v>
      </c>
      <c r="B246" s="243" t="s">
        <v>190</v>
      </c>
      <c r="C246" s="244" t="s">
        <v>197</v>
      </c>
      <c r="D246" s="245" t="b">
        <v>1</v>
      </c>
      <c r="E246" s="245" t="b">
        <v>1</v>
      </c>
      <c r="F246" s="246" t="b">
        <v>0</v>
      </c>
      <c r="G246" s="246" t="b">
        <v>0</v>
      </c>
      <c r="H246" s="246" t="b">
        <v>0</v>
      </c>
      <c r="I246" s="246" t="b">
        <v>0</v>
      </c>
      <c r="J246" s="247"/>
    </row>
    <row r="247" spans="1:10">
      <c r="A247" s="243" t="s">
        <v>602</v>
      </c>
      <c r="B247" s="243" t="s">
        <v>190</v>
      </c>
      <c r="C247" s="244" t="s">
        <v>771</v>
      </c>
      <c r="D247" s="245" t="b">
        <v>1</v>
      </c>
      <c r="E247" s="245" t="b">
        <v>0</v>
      </c>
      <c r="F247" s="246" t="b">
        <v>0</v>
      </c>
      <c r="G247" s="246" t="b">
        <v>0</v>
      </c>
      <c r="H247" s="246" t="b">
        <v>0</v>
      </c>
      <c r="I247" s="246" t="b">
        <v>0</v>
      </c>
      <c r="J247" s="247"/>
    </row>
    <row r="248" spans="1:10">
      <c r="A248" s="243" t="s">
        <v>603</v>
      </c>
      <c r="B248" s="243" t="s">
        <v>190</v>
      </c>
      <c r="C248" s="244" t="s">
        <v>198</v>
      </c>
      <c r="D248" s="245" t="b">
        <v>0</v>
      </c>
      <c r="E248" s="245" t="b">
        <v>0</v>
      </c>
      <c r="F248" s="246" t="b">
        <v>0</v>
      </c>
      <c r="G248" s="246" t="b">
        <v>0</v>
      </c>
      <c r="H248" s="246" t="b">
        <v>0</v>
      </c>
      <c r="I248" s="246" t="b">
        <v>0</v>
      </c>
      <c r="J248" s="247"/>
    </row>
    <row r="249" spans="1:10">
      <c r="A249" s="243" t="s">
        <v>604</v>
      </c>
      <c r="B249" s="243" t="s">
        <v>190</v>
      </c>
      <c r="C249" s="244" t="s">
        <v>605</v>
      </c>
      <c r="D249" s="245" t="b">
        <v>1</v>
      </c>
      <c r="E249" s="245" t="b">
        <v>1</v>
      </c>
      <c r="F249" s="246" t="b">
        <v>0</v>
      </c>
      <c r="G249" s="246" t="b">
        <v>0</v>
      </c>
      <c r="H249" s="246" t="b">
        <v>0</v>
      </c>
      <c r="I249" s="246" t="b">
        <v>0</v>
      </c>
      <c r="J249" s="247"/>
    </row>
    <row r="250" spans="1:10">
      <c r="A250" s="243" t="s">
        <v>772</v>
      </c>
      <c r="B250" s="243" t="s">
        <v>190</v>
      </c>
      <c r="C250" s="244" t="s">
        <v>773</v>
      </c>
      <c r="D250" s="245" t="b">
        <v>0</v>
      </c>
      <c r="E250" s="245" t="b">
        <v>0</v>
      </c>
      <c r="F250" s="246" t="b">
        <v>0</v>
      </c>
      <c r="G250" s="246" t="b">
        <v>0</v>
      </c>
      <c r="H250" s="246" t="b">
        <v>0</v>
      </c>
      <c r="I250" s="246" t="b">
        <v>0</v>
      </c>
      <c r="J250" s="247"/>
    </row>
    <row r="251" spans="1:10">
      <c r="A251" s="243" t="s">
        <v>606</v>
      </c>
      <c r="B251" s="243" t="s">
        <v>190</v>
      </c>
      <c r="C251" s="244" t="s">
        <v>607</v>
      </c>
      <c r="D251" s="245" t="b">
        <v>0</v>
      </c>
      <c r="E251" s="245" t="b">
        <v>0</v>
      </c>
      <c r="F251" s="246" t="b">
        <v>0</v>
      </c>
      <c r="G251" s="246" t="b">
        <v>0</v>
      </c>
      <c r="H251" s="246" t="b">
        <v>0</v>
      </c>
      <c r="I251" s="246" t="b">
        <v>0</v>
      </c>
      <c r="J251" s="247"/>
    </row>
    <row r="252" spans="1:10">
      <c r="A252" s="243" t="s">
        <v>774</v>
      </c>
      <c r="B252" s="243" t="s">
        <v>190</v>
      </c>
      <c r="C252" s="244" t="s">
        <v>775</v>
      </c>
      <c r="D252" s="245" t="b">
        <v>0</v>
      </c>
      <c r="E252" s="245" t="b">
        <v>0</v>
      </c>
      <c r="F252" s="246" t="b">
        <v>0</v>
      </c>
      <c r="G252" s="246" t="b">
        <v>0</v>
      </c>
      <c r="H252" s="246" t="b">
        <v>0</v>
      </c>
      <c r="I252" s="246" t="b">
        <v>0</v>
      </c>
      <c r="J252" s="247"/>
    </row>
    <row r="253" spans="1:10">
      <c r="A253" s="243" t="s">
        <v>776</v>
      </c>
      <c r="B253" s="243" t="s">
        <v>190</v>
      </c>
      <c r="C253" s="244" t="s">
        <v>777</v>
      </c>
      <c r="D253" s="245" t="b">
        <v>0</v>
      </c>
      <c r="E253" s="245" t="b">
        <v>0</v>
      </c>
      <c r="F253" s="246" t="b">
        <v>0</v>
      </c>
      <c r="G253" s="246" t="b">
        <v>0</v>
      </c>
      <c r="H253" s="246" t="b">
        <v>0</v>
      </c>
      <c r="I253" s="246" t="b">
        <v>0</v>
      </c>
      <c r="J253" s="247"/>
    </row>
    <row r="254" spans="1:10">
      <c r="A254" s="243" t="s">
        <v>778</v>
      </c>
      <c r="B254" s="243" t="s">
        <v>190</v>
      </c>
      <c r="C254" s="244" t="s">
        <v>779</v>
      </c>
      <c r="D254" s="245" t="b">
        <v>0</v>
      </c>
      <c r="E254" s="245" t="b">
        <v>0</v>
      </c>
      <c r="F254" s="246" t="b">
        <v>0</v>
      </c>
      <c r="G254" s="246" t="b">
        <v>0</v>
      </c>
      <c r="H254" s="246" t="b">
        <v>0</v>
      </c>
      <c r="I254" s="246" t="b">
        <v>0</v>
      </c>
      <c r="J254" s="247"/>
    </row>
    <row r="255" spans="1:10">
      <c r="A255" s="243" t="s">
        <v>780</v>
      </c>
      <c r="B255" s="243" t="s">
        <v>781</v>
      </c>
      <c r="C255" s="244" t="s">
        <v>782</v>
      </c>
      <c r="D255" s="245" t="b">
        <v>0</v>
      </c>
      <c r="E255" s="245" t="b">
        <v>0</v>
      </c>
      <c r="F255" s="246" t="b">
        <v>0</v>
      </c>
      <c r="G255" s="246" t="b">
        <v>0</v>
      </c>
      <c r="H255" s="246" t="b">
        <v>0</v>
      </c>
      <c r="I255" s="246" t="b">
        <v>0</v>
      </c>
      <c r="J255" s="247"/>
    </row>
    <row r="256" spans="1:10">
      <c r="A256" s="243" t="s">
        <v>608</v>
      </c>
      <c r="B256" s="243" t="s">
        <v>190</v>
      </c>
      <c r="C256" s="244" t="s">
        <v>609</v>
      </c>
      <c r="D256" s="245" t="b">
        <v>1</v>
      </c>
      <c r="E256" s="245" t="b">
        <v>1</v>
      </c>
      <c r="F256" s="246" t="b">
        <v>0</v>
      </c>
      <c r="G256" s="246" t="b">
        <v>0</v>
      </c>
      <c r="H256" s="246" t="b">
        <v>0</v>
      </c>
      <c r="I256" s="246" t="b">
        <v>0</v>
      </c>
      <c r="J256" s="247"/>
    </row>
    <row r="257" spans="1:10">
      <c r="A257" s="243" t="s">
        <v>106</v>
      </c>
      <c r="B257" s="243" t="s">
        <v>190</v>
      </c>
      <c r="C257" s="244" t="s">
        <v>194</v>
      </c>
      <c r="D257" s="245" t="b">
        <v>1</v>
      </c>
      <c r="E257" s="245" t="b">
        <v>1</v>
      </c>
      <c r="F257" s="246" t="b">
        <v>0</v>
      </c>
      <c r="G257" s="246" t="b">
        <v>0</v>
      </c>
      <c r="H257" s="246" t="b">
        <v>0</v>
      </c>
      <c r="I257" s="246" t="b">
        <v>0</v>
      </c>
      <c r="J257" s="247"/>
    </row>
    <row r="258" spans="1:10">
      <c r="A258" s="243" t="s">
        <v>783</v>
      </c>
      <c r="B258" s="243" t="s">
        <v>190</v>
      </c>
      <c r="C258" s="244" t="s">
        <v>784</v>
      </c>
      <c r="D258" s="245" t="b">
        <v>1</v>
      </c>
      <c r="E258" s="245" t="b">
        <v>0</v>
      </c>
      <c r="F258" s="246" t="b">
        <v>0</v>
      </c>
      <c r="G258" s="246" t="b">
        <v>0</v>
      </c>
      <c r="H258" s="246" t="b">
        <v>0</v>
      </c>
      <c r="I258" s="246" t="b">
        <v>0</v>
      </c>
      <c r="J258" s="247"/>
    </row>
    <row r="259" spans="1:10">
      <c r="A259" s="243" t="s">
        <v>785</v>
      </c>
      <c r="B259" s="243" t="s">
        <v>190</v>
      </c>
      <c r="C259" s="244" t="s">
        <v>786</v>
      </c>
      <c r="D259" s="245" t="b">
        <v>1</v>
      </c>
      <c r="E259" s="245" t="b">
        <v>1</v>
      </c>
      <c r="F259" s="246" t="b">
        <v>0</v>
      </c>
      <c r="G259" s="246" t="b">
        <v>0</v>
      </c>
      <c r="H259" s="246" t="b">
        <v>0</v>
      </c>
      <c r="I259" s="246" t="b">
        <v>0</v>
      </c>
      <c r="J259" s="247"/>
    </row>
    <row r="260" spans="1:10">
      <c r="A260" s="243" t="s">
        <v>787</v>
      </c>
      <c r="B260" s="243" t="s">
        <v>190</v>
      </c>
      <c r="C260" s="244" t="s">
        <v>788</v>
      </c>
      <c r="D260" s="245" t="b">
        <v>1</v>
      </c>
      <c r="E260" s="245" t="b">
        <v>0</v>
      </c>
      <c r="F260" s="246" t="b">
        <v>0</v>
      </c>
      <c r="G260" s="246" t="b">
        <v>0</v>
      </c>
      <c r="H260" s="246" t="b">
        <v>0</v>
      </c>
      <c r="I260" s="246" t="b">
        <v>0</v>
      </c>
      <c r="J260" s="247"/>
    </row>
    <row r="261" spans="1:10">
      <c r="A261" s="243" t="s">
        <v>789</v>
      </c>
      <c r="B261" s="243" t="s">
        <v>190</v>
      </c>
      <c r="C261" s="244" t="s">
        <v>790</v>
      </c>
      <c r="D261" s="245" t="b">
        <v>1</v>
      </c>
      <c r="E261" s="245" t="b">
        <v>0</v>
      </c>
      <c r="F261" s="246" t="b">
        <v>0</v>
      </c>
      <c r="G261" s="246" t="b">
        <v>0</v>
      </c>
      <c r="H261" s="246" t="b">
        <v>0</v>
      </c>
      <c r="I261" s="246" t="b">
        <v>0</v>
      </c>
      <c r="J261" s="247"/>
    </row>
    <row r="262" spans="1:10">
      <c r="A262" s="243" t="s">
        <v>791</v>
      </c>
      <c r="B262" s="243" t="s">
        <v>190</v>
      </c>
      <c r="C262" s="244" t="s">
        <v>792</v>
      </c>
      <c r="D262" s="245" t="b">
        <v>1</v>
      </c>
      <c r="E262" s="245" t="b">
        <v>0</v>
      </c>
      <c r="F262" s="246" t="b">
        <v>0</v>
      </c>
      <c r="G262" s="246" t="b">
        <v>0</v>
      </c>
      <c r="H262" s="246" t="b">
        <v>0</v>
      </c>
      <c r="I262" s="246" t="b">
        <v>0</v>
      </c>
      <c r="J262" s="247"/>
    </row>
    <row r="263" spans="1:10">
      <c r="A263" s="258" t="s">
        <v>1074</v>
      </c>
      <c r="B263" s="243" t="s">
        <v>190</v>
      </c>
      <c r="C263" s="257" t="s">
        <v>1125</v>
      </c>
      <c r="D263" s="245" t="b">
        <v>1</v>
      </c>
      <c r="E263" s="245" t="b">
        <v>1</v>
      </c>
      <c r="F263" s="246" t="b">
        <v>0</v>
      </c>
      <c r="G263" s="246" t="b">
        <v>0</v>
      </c>
      <c r="H263" s="246" t="b">
        <v>0</v>
      </c>
      <c r="I263" s="246" t="b">
        <v>0</v>
      </c>
      <c r="J263" s="247"/>
    </row>
    <row r="264" spans="1:10">
      <c r="A264" s="258" t="s">
        <v>1075</v>
      </c>
      <c r="B264" s="243" t="s">
        <v>190</v>
      </c>
      <c r="C264" s="257" t="s">
        <v>1121</v>
      </c>
      <c r="D264" s="245" t="b">
        <v>1</v>
      </c>
      <c r="E264" s="245" t="b">
        <v>1</v>
      </c>
      <c r="F264" s="246" t="b">
        <v>0</v>
      </c>
      <c r="G264" s="246" t="b">
        <v>0</v>
      </c>
      <c r="H264" s="246" t="b">
        <v>0</v>
      </c>
      <c r="I264" s="246" t="b">
        <v>0</v>
      </c>
      <c r="J264" s="247"/>
    </row>
    <row r="265" spans="1:10">
      <c r="A265" s="258" t="s">
        <v>1076</v>
      </c>
      <c r="B265" s="243" t="s">
        <v>190</v>
      </c>
      <c r="C265" s="158" t="s">
        <v>1122</v>
      </c>
      <c r="D265" s="245" t="b">
        <v>1</v>
      </c>
      <c r="E265" s="245" t="b">
        <v>0</v>
      </c>
      <c r="F265" s="246" t="b">
        <v>0</v>
      </c>
      <c r="G265" s="246" t="b">
        <v>0</v>
      </c>
      <c r="H265" s="246" t="b">
        <v>0</v>
      </c>
      <c r="I265" s="246" t="b">
        <v>0</v>
      </c>
      <c r="J265" s="247"/>
    </row>
    <row r="266" spans="1:10">
      <c r="A266" s="258" t="s">
        <v>1077</v>
      </c>
      <c r="B266" s="243" t="s">
        <v>190</v>
      </c>
      <c r="C266" s="158" t="s">
        <v>1123</v>
      </c>
      <c r="D266" s="245" t="b">
        <v>1</v>
      </c>
      <c r="E266" s="245" t="b">
        <v>1</v>
      </c>
      <c r="F266" s="246" t="b">
        <v>0</v>
      </c>
      <c r="G266" s="246" t="b">
        <v>0</v>
      </c>
      <c r="H266" s="246" t="b">
        <v>0</v>
      </c>
      <c r="I266" s="246" t="b">
        <v>0</v>
      </c>
      <c r="J266" s="247"/>
    </row>
    <row r="267" spans="1:10">
      <c r="A267" s="259" t="s">
        <v>958</v>
      </c>
      <c r="B267" s="243" t="s">
        <v>190</v>
      </c>
      <c r="C267" s="158" t="s">
        <v>1124</v>
      </c>
      <c r="D267" s="245" t="b">
        <v>1</v>
      </c>
      <c r="E267" s="245" t="b">
        <v>1</v>
      </c>
      <c r="F267" s="246" t="b">
        <v>0</v>
      </c>
      <c r="G267" s="246" t="b">
        <v>0</v>
      </c>
      <c r="H267" s="246" t="b">
        <v>0</v>
      </c>
      <c r="I267" s="246" t="b">
        <v>0</v>
      </c>
      <c r="J267" s="247"/>
    </row>
    <row r="268" spans="1:10">
      <c r="A268" s="243" t="s">
        <v>181</v>
      </c>
      <c r="B268" s="243" t="s">
        <v>610</v>
      </c>
      <c r="C268" s="244" t="s">
        <v>610</v>
      </c>
      <c r="D268" s="245" t="b">
        <v>0</v>
      </c>
      <c r="E268" s="245" t="b">
        <v>0</v>
      </c>
      <c r="F268" s="246" t="b">
        <v>1</v>
      </c>
      <c r="G268" s="246" t="b">
        <v>1</v>
      </c>
      <c r="H268" s="246" t="b">
        <v>1</v>
      </c>
      <c r="I268" s="246" t="b">
        <v>1</v>
      </c>
      <c r="J268" s="247"/>
    </row>
    <row r="269" spans="1:10">
      <c r="A269" s="243" t="s">
        <v>182</v>
      </c>
      <c r="B269" s="243" t="s">
        <v>610</v>
      </c>
      <c r="C269" s="244" t="s">
        <v>611</v>
      </c>
      <c r="D269" s="245" t="b">
        <v>0</v>
      </c>
      <c r="E269" s="245" t="b">
        <v>0</v>
      </c>
      <c r="F269" s="246" t="b">
        <v>0</v>
      </c>
      <c r="G269" s="246" t="b">
        <v>0</v>
      </c>
      <c r="H269" s="246" t="b">
        <v>0</v>
      </c>
      <c r="I269" s="246" t="b">
        <v>0</v>
      </c>
      <c r="J269" s="247"/>
    </row>
    <row r="270" spans="1:10">
      <c r="A270" s="243" t="s">
        <v>183</v>
      </c>
      <c r="B270" s="243" t="s">
        <v>610</v>
      </c>
      <c r="C270" s="244" t="s">
        <v>612</v>
      </c>
      <c r="D270" s="245" t="b">
        <v>1</v>
      </c>
      <c r="E270" s="245" t="b">
        <v>0</v>
      </c>
      <c r="F270" s="246" t="b">
        <v>0</v>
      </c>
      <c r="G270" s="246" t="b">
        <v>0</v>
      </c>
      <c r="H270" s="246" t="b">
        <v>0</v>
      </c>
      <c r="I270" s="246" t="b">
        <v>0</v>
      </c>
      <c r="J270" s="247"/>
    </row>
    <row r="271" spans="1:10">
      <c r="A271" s="243" t="s">
        <v>184</v>
      </c>
      <c r="B271" s="243" t="s">
        <v>610</v>
      </c>
      <c r="C271" s="244" t="s">
        <v>613</v>
      </c>
      <c r="D271" s="245" t="b">
        <v>1</v>
      </c>
      <c r="E271" s="245" t="b">
        <v>0</v>
      </c>
      <c r="F271" s="246" t="b">
        <v>0</v>
      </c>
      <c r="G271" s="246" t="b">
        <v>0</v>
      </c>
      <c r="H271" s="246" t="b">
        <v>0</v>
      </c>
      <c r="I271" s="246" t="b">
        <v>0</v>
      </c>
      <c r="J271" s="247"/>
    </row>
    <row r="272" spans="1:10">
      <c r="A272" s="243" t="s">
        <v>614</v>
      </c>
      <c r="B272" s="243" t="s">
        <v>610</v>
      </c>
      <c r="C272" s="244" t="s">
        <v>615</v>
      </c>
      <c r="D272" s="245" t="b">
        <v>1</v>
      </c>
      <c r="E272" s="245" t="b">
        <v>0</v>
      </c>
      <c r="F272" s="246" t="b">
        <v>0</v>
      </c>
      <c r="G272" s="246" t="b">
        <v>0</v>
      </c>
      <c r="H272" s="246" t="b">
        <v>0</v>
      </c>
      <c r="I272" s="246" t="b">
        <v>0</v>
      </c>
      <c r="J272" s="247"/>
    </row>
    <row r="273" spans="1:10">
      <c r="A273" s="243" t="s">
        <v>185</v>
      </c>
      <c r="B273" s="243" t="s">
        <v>610</v>
      </c>
      <c r="C273" s="244" t="s">
        <v>616</v>
      </c>
      <c r="D273" s="245" t="b">
        <v>1</v>
      </c>
      <c r="E273" s="245" t="b">
        <v>0</v>
      </c>
      <c r="F273" s="246" t="b">
        <v>0</v>
      </c>
      <c r="G273" s="246" t="b">
        <v>0</v>
      </c>
      <c r="H273" s="246" t="b">
        <v>0</v>
      </c>
      <c r="I273" s="246" t="b">
        <v>0</v>
      </c>
      <c r="J273" s="247"/>
    </row>
    <row r="274" spans="1:10">
      <c r="A274" s="243" t="s">
        <v>187</v>
      </c>
      <c r="B274" s="243" t="s">
        <v>610</v>
      </c>
      <c r="C274" s="244" t="s">
        <v>617</v>
      </c>
      <c r="D274" s="245" t="b">
        <v>1</v>
      </c>
      <c r="E274" s="245" t="b">
        <v>0</v>
      </c>
      <c r="F274" s="246" t="b">
        <v>0</v>
      </c>
      <c r="G274" s="246" t="b">
        <v>0</v>
      </c>
      <c r="H274" s="246" t="b">
        <v>0</v>
      </c>
      <c r="I274" s="246" t="b">
        <v>0</v>
      </c>
      <c r="J274" s="247"/>
    </row>
    <row r="275" spans="1:10">
      <c r="A275" s="243" t="s">
        <v>189</v>
      </c>
      <c r="B275" s="243" t="s">
        <v>610</v>
      </c>
      <c r="C275" s="244" t="s">
        <v>793</v>
      </c>
      <c r="D275" s="245" t="b">
        <v>1</v>
      </c>
      <c r="E275" s="245" t="b">
        <v>0</v>
      </c>
      <c r="F275" s="246" t="b">
        <v>0</v>
      </c>
      <c r="G275" s="246" t="b">
        <v>0</v>
      </c>
      <c r="H275" s="246" t="b">
        <v>0</v>
      </c>
      <c r="I275" s="246" t="b">
        <v>0</v>
      </c>
      <c r="J275" s="247"/>
    </row>
    <row r="276" spans="1:10">
      <c r="A276" s="243" t="s">
        <v>794</v>
      </c>
      <c r="B276" s="243" t="s">
        <v>781</v>
      </c>
      <c r="C276" s="244" t="s">
        <v>795</v>
      </c>
      <c r="D276" s="245" t="b">
        <v>0</v>
      </c>
      <c r="E276" s="245" t="b">
        <v>0</v>
      </c>
      <c r="F276" s="246" t="b">
        <v>0</v>
      </c>
      <c r="G276" s="246" t="b">
        <v>0</v>
      </c>
      <c r="H276" s="246" t="b">
        <v>0</v>
      </c>
      <c r="I276" s="246" t="b">
        <v>0</v>
      </c>
      <c r="J276" s="247"/>
    </row>
    <row r="277" spans="1:10">
      <c r="A277" s="243" t="s">
        <v>618</v>
      </c>
      <c r="B277" s="243" t="s">
        <v>498</v>
      </c>
      <c r="C277" s="244" t="s">
        <v>498</v>
      </c>
      <c r="D277" s="245" t="b">
        <v>0</v>
      </c>
      <c r="E277" s="245" t="b">
        <v>0</v>
      </c>
      <c r="F277" s="246" t="b">
        <v>1</v>
      </c>
      <c r="G277" s="246" t="b">
        <v>1</v>
      </c>
      <c r="H277" s="246" t="b">
        <v>1</v>
      </c>
      <c r="I277" s="246" t="b">
        <v>1</v>
      </c>
      <c r="J277" s="247"/>
    </row>
    <row r="278" spans="1:10">
      <c r="A278" s="243" t="s">
        <v>58</v>
      </c>
      <c r="B278" s="243" t="s">
        <v>498</v>
      </c>
      <c r="C278" s="244" t="s">
        <v>619</v>
      </c>
      <c r="D278" s="245" t="b">
        <v>0</v>
      </c>
      <c r="E278" s="245" t="b">
        <v>0</v>
      </c>
      <c r="F278" s="246" t="b">
        <v>0</v>
      </c>
      <c r="G278" s="246" t="b">
        <v>0</v>
      </c>
      <c r="H278" s="246" t="b">
        <v>1</v>
      </c>
      <c r="I278" s="246" t="b">
        <v>1</v>
      </c>
      <c r="J278" s="247"/>
    </row>
    <row r="279" spans="1:10">
      <c r="A279" s="243" t="s">
        <v>59</v>
      </c>
      <c r="B279" s="243" t="s">
        <v>498</v>
      </c>
      <c r="C279" s="244" t="s">
        <v>620</v>
      </c>
      <c r="D279" s="245" t="b">
        <v>0</v>
      </c>
      <c r="E279" s="245" t="b">
        <v>0</v>
      </c>
      <c r="F279" s="246" t="b">
        <v>0</v>
      </c>
      <c r="G279" s="246" t="b">
        <v>0</v>
      </c>
      <c r="H279" s="246" t="b">
        <v>1</v>
      </c>
      <c r="I279" s="246" t="b">
        <v>1</v>
      </c>
      <c r="J279" s="247"/>
    </row>
    <row r="280" spans="1:10">
      <c r="A280" s="243" t="s">
        <v>60</v>
      </c>
      <c r="B280" s="243" t="s">
        <v>498</v>
      </c>
      <c r="C280" s="244" t="s">
        <v>621</v>
      </c>
      <c r="D280" s="245" t="b">
        <v>0</v>
      </c>
      <c r="E280" s="245" t="b">
        <v>0</v>
      </c>
      <c r="F280" s="246" t="b">
        <v>0</v>
      </c>
      <c r="G280" s="246" t="b">
        <v>0</v>
      </c>
      <c r="H280" s="246" t="b">
        <v>1</v>
      </c>
      <c r="I280" s="246" t="b">
        <v>1</v>
      </c>
      <c r="J280" s="247"/>
    </row>
    <row r="281" spans="1:10">
      <c r="A281" s="243" t="s">
        <v>61</v>
      </c>
      <c r="B281" s="243" t="s">
        <v>498</v>
      </c>
      <c r="C281" s="244" t="s">
        <v>622</v>
      </c>
      <c r="D281" s="245" t="b">
        <v>0</v>
      </c>
      <c r="E281" s="245" t="b">
        <v>0</v>
      </c>
      <c r="F281" s="246" t="b">
        <v>0</v>
      </c>
      <c r="G281" s="246" t="b">
        <v>0</v>
      </c>
      <c r="H281" s="246" t="b">
        <v>1</v>
      </c>
      <c r="I281" s="246" t="b">
        <v>1</v>
      </c>
      <c r="J281" s="247"/>
    </row>
    <row r="282" spans="1:10">
      <c r="A282" s="243" t="s">
        <v>62</v>
      </c>
      <c r="B282" s="243" t="s">
        <v>498</v>
      </c>
      <c r="C282" s="244" t="s">
        <v>623</v>
      </c>
      <c r="D282" s="245" t="b">
        <v>0</v>
      </c>
      <c r="E282" s="245" t="b">
        <v>0</v>
      </c>
      <c r="F282" s="246" t="b">
        <v>0</v>
      </c>
      <c r="G282" s="246" t="b">
        <v>0</v>
      </c>
      <c r="H282" s="246" t="b">
        <v>1</v>
      </c>
      <c r="I282" s="246" t="b">
        <v>1</v>
      </c>
      <c r="J282" s="247"/>
    </row>
    <row r="283" spans="1:10">
      <c r="A283" s="243" t="s">
        <v>63</v>
      </c>
      <c r="B283" s="243" t="s">
        <v>498</v>
      </c>
      <c r="C283" s="244" t="s">
        <v>624</v>
      </c>
      <c r="D283" s="245" t="b">
        <v>0</v>
      </c>
      <c r="E283" s="245" t="b">
        <v>0</v>
      </c>
      <c r="F283" s="246" t="b">
        <v>0</v>
      </c>
      <c r="G283" s="246" t="b">
        <v>0</v>
      </c>
      <c r="H283" s="246" t="b">
        <v>1</v>
      </c>
      <c r="I283" s="246" t="b">
        <v>1</v>
      </c>
      <c r="J283" s="247"/>
    </row>
    <row r="284" spans="1:10">
      <c r="A284" s="243" t="s">
        <v>796</v>
      </c>
      <c r="B284" s="243" t="s">
        <v>498</v>
      </c>
      <c r="C284" s="244" t="s">
        <v>797</v>
      </c>
      <c r="D284" s="245" t="b">
        <v>0</v>
      </c>
      <c r="E284" s="245" t="b">
        <v>0</v>
      </c>
      <c r="F284" s="246" t="b">
        <v>0</v>
      </c>
      <c r="G284" s="246" t="b">
        <v>0</v>
      </c>
      <c r="H284" s="246" t="b">
        <v>1</v>
      </c>
      <c r="I284" s="246" t="b">
        <v>1</v>
      </c>
      <c r="J284" s="247"/>
    </row>
    <row r="285" spans="1:10">
      <c r="A285" s="243" t="s">
        <v>64</v>
      </c>
      <c r="B285" s="243" t="s">
        <v>498</v>
      </c>
      <c r="C285" s="244" t="s">
        <v>625</v>
      </c>
      <c r="D285" s="245" t="b">
        <v>1</v>
      </c>
      <c r="E285" s="245" t="b">
        <v>1</v>
      </c>
      <c r="F285" s="246" t="b">
        <v>0</v>
      </c>
      <c r="G285" s="246" t="b">
        <v>0</v>
      </c>
      <c r="H285" s="246" t="b">
        <v>0</v>
      </c>
      <c r="I285" s="246" t="b">
        <v>0</v>
      </c>
      <c r="J285" s="247"/>
    </row>
    <row r="286" spans="1:10">
      <c r="A286" s="243" t="s">
        <v>65</v>
      </c>
      <c r="B286" s="243" t="s">
        <v>498</v>
      </c>
      <c r="C286" s="244" t="s">
        <v>626</v>
      </c>
      <c r="D286" s="245" t="b">
        <v>1</v>
      </c>
      <c r="E286" s="245" t="b">
        <v>1</v>
      </c>
      <c r="F286" s="246" t="b">
        <v>0</v>
      </c>
      <c r="G286" s="246" t="b">
        <v>0</v>
      </c>
      <c r="H286" s="246" t="b">
        <v>0</v>
      </c>
      <c r="I286" s="246" t="b">
        <v>0</v>
      </c>
      <c r="J286" s="247"/>
    </row>
    <row r="287" spans="1:10">
      <c r="A287" s="243" t="s">
        <v>66</v>
      </c>
      <c r="B287" s="243" t="s">
        <v>498</v>
      </c>
      <c r="C287" s="244" t="s">
        <v>627</v>
      </c>
      <c r="D287" s="245" t="b">
        <v>1</v>
      </c>
      <c r="E287" s="245" t="b">
        <v>1</v>
      </c>
      <c r="F287" s="246" t="b">
        <v>0</v>
      </c>
      <c r="G287" s="246" t="b">
        <v>0</v>
      </c>
      <c r="H287" s="246" t="b">
        <v>0</v>
      </c>
      <c r="I287" s="246" t="b">
        <v>0</v>
      </c>
      <c r="J287" s="247"/>
    </row>
    <row r="288" spans="1:10">
      <c r="A288" s="243" t="s">
        <v>67</v>
      </c>
      <c r="B288" s="243" t="s">
        <v>498</v>
      </c>
      <c r="C288" s="244" t="s">
        <v>628</v>
      </c>
      <c r="D288" s="245" t="b">
        <v>0</v>
      </c>
      <c r="E288" s="245" t="b">
        <v>0</v>
      </c>
      <c r="F288" s="246" t="b">
        <v>0</v>
      </c>
      <c r="G288" s="246" t="b">
        <v>0</v>
      </c>
      <c r="H288" s="246" t="b">
        <v>0</v>
      </c>
      <c r="I288" s="246" t="b">
        <v>0</v>
      </c>
      <c r="J288" s="247"/>
    </row>
    <row r="289" spans="1:10">
      <c r="A289" s="243" t="s">
        <v>68</v>
      </c>
      <c r="B289" s="243" t="s">
        <v>498</v>
      </c>
      <c r="C289" s="244" t="s">
        <v>798</v>
      </c>
      <c r="D289" s="245" t="b">
        <v>1</v>
      </c>
      <c r="E289" s="245" t="b">
        <v>0</v>
      </c>
      <c r="F289" s="246" t="b">
        <v>0</v>
      </c>
      <c r="G289" s="246" t="b">
        <v>0</v>
      </c>
      <c r="H289" s="246" t="b">
        <v>1</v>
      </c>
      <c r="I289" s="246" t="b">
        <v>0</v>
      </c>
      <c r="J289" s="247"/>
    </row>
    <row r="290" spans="1:10">
      <c r="A290" s="243" t="s">
        <v>629</v>
      </c>
      <c r="B290" s="243" t="s">
        <v>498</v>
      </c>
      <c r="C290" s="244" t="s">
        <v>630</v>
      </c>
      <c r="D290" s="245" t="b">
        <v>1</v>
      </c>
      <c r="E290" s="245" t="b">
        <v>0</v>
      </c>
      <c r="F290" s="246" t="b">
        <v>0</v>
      </c>
      <c r="G290" s="246" t="b">
        <v>0</v>
      </c>
      <c r="H290" s="246" t="b">
        <v>0</v>
      </c>
      <c r="I290" s="246" t="b">
        <v>0</v>
      </c>
      <c r="J290" s="247"/>
    </row>
    <row r="291" spans="1:10">
      <c r="A291" s="243" t="s">
        <v>799</v>
      </c>
      <c r="B291" s="243" t="s">
        <v>498</v>
      </c>
      <c r="C291" s="244" t="s">
        <v>800</v>
      </c>
      <c r="D291" s="245" t="b">
        <v>0</v>
      </c>
      <c r="E291" s="245" t="b">
        <v>0</v>
      </c>
      <c r="F291" s="246" t="b">
        <v>0</v>
      </c>
      <c r="G291" s="246" t="b">
        <v>0</v>
      </c>
      <c r="H291" s="246" t="b">
        <v>0</v>
      </c>
      <c r="I291" s="246" t="b">
        <v>0</v>
      </c>
      <c r="J291" s="247"/>
    </row>
    <row r="292" spans="1:10">
      <c r="A292" s="243" t="s">
        <v>801</v>
      </c>
      <c r="B292" s="243" t="s">
        <v>498</v>
      </c>
      <c r="C292" s="244" t="s">
        <v>802</v>
      </c>
      <c r="D292" s="245" t="b">
        <v>0</v>
      </c>
      <c r="E292" s="245" t="b">
        <v>0</v>
      </c>
      <c r="F292" s="246" t="b">
        <v>0</v>
      </c>
      <c r="G292" s="246" t="b">
        <v>0</v>
      </c>
      <c r="H292" s="246" t="b">
        <v>0</v>
      </c>
      <c r="I292" s="246" t="b">
        <v>0</v>
      </c>
      <c r="J292" s="247"/>
    </row>
    <row r="293" spans="1:10">
      <c r="A293" s="243" t="s">
        <v>69</v>
      </c>
      <c r="B293" s="243" t="s">
        <v>498</v>
      </c>
      <c r="C293" s="244" t="s">
        <v>803</v>
      </c>
      <c r="D293" s="245" t="b">
        <v>1</v>
      </c>
      <c r="E293" s="245" t="b">
        <v>0</v>
      </c>
      <c r="F293" s="246" t="b">
        <v>0</v>
      </c>
      <c r="G293" s="246" t="b">
        <v>0</v>
      </c>
      <c r="H293" s="246" t="b">
        <v>0</v>
      </c>
      <c r="I293" s="246" t="b">
        <v>0</v>
      </c>
      <c r="J293" s="247"/>
    </row>
    <row r="294" spans="1:10">
      <c r="A294" s="243" t="s">
        <v>804</v>
      </c>
      <c r="B294" s="243" t="s">
        <v>498</v>
      </c>
      <c r="C294" s="244" t="s">
        <v>805</v>
      </c>
      <c r="D294" s="245" t="b">
        <v>1</v>
      </c>
      <c r="E294" s="245" t="b">
        <v>0</v>
      </c>
      <c r="F294" s="246" t="b">
        <v>0</v>
      </c>
      <c r="G294" s="246" t="b">
        <v>0</v>
      </c>
      <c r="H294" s="246" t="b">
        <v>0</v>
      </c>
      <c r="I294" s="246" t="b">
        <v>0</v>
      </c>
      <c r="J294" s="247"/>
    </row>
    <row r="295" spans="1:10">
      <c r="A295" s="243" t="s">
        <v>631</v>
      </c>
      <c r="B295" s="243" t="s">
        <v>498</v>
      </c>
      <c r="C295" s="244" t="s">
        <v>632</v>
      </c>
      <c r="D295" s="245" t="b">
        <v>1</v>
      </c>
      <c r="E295" s="245" t="b">
        <v>0</v>
      </c>
      <c r="F295" s="246" t="b">
        <v>0</v>
      </c>
      <c r="G295" s="246" t="b">
        <v>0</v>
      </c>
      <c r="H295" s="246" t="b">
        <v>0</v>
      </c>
      <c r="I295" s="246" t="b">
        <v>0</v>
      </c>
      <c r="J295" s="247"/>
    </row>
    <row r="296" spans="1:10">
      <c r="A296" s="243" t="s">
        <v>633</v>
      </c>
      <c r="B296" s="243" t="s">
        <v>806</v>
      </c>
      <c r="C296" s="244" t="s">
        <v>807</v>
      </c>
      <c r="D296" s="245" t="b">
        <v>0</v>
      </c>
      <c r="E296" s="245" t="b">
        <v>0</v>
      </c>
      <c r="F296" s="246" t="b">
        <v>0</v>
      </c>
      <c r="G296" s="246" t="b">
        <v>0</v>
      </c>
      <c r="H296" s="246" t="b">
        <v>1</v>
      </c>
      <c r="I296" s="246" t="b">
        <v>1</v>
      </c>
      <c r="J296" s="247"/>
    </row>
    <row r="297" spans="1:10">
      <c r="A297" s="243" t="s">
        <v>808</v>
      </c>
      <c r="B297" s="243" t="s">
        <v>806</v>
      </c>
      <c r="C297" s="244" t="s">
        <v>809</v>
      </c>
      <c r="D297" s="245" t="b">
        <v>0</v>
      </c>
      <c r="E297" s="245" t="b">
        <v>0</v>
      </c>
      <c r="F297" s="246" t="b">
        <v>0</v>
      </c>
      <c r="G297" s="246" t="b">
        <v>0</v>
      </c>
      <c r="H297" s="246" t="b">
        <v>1</v>
      </c>
      <c r="I297" s="246" t="b">
        <v>1</v>
      </c>
      <c r="J297" s="247"/>
    </row>
    <row r="298" spans="1:10">
      <c r="A298" s="243" t="s">
        <v>136</v>
      </c>
      <c r="B298" s="243" t="s">
        <v>806</v>
      </c>
      <c r="C298" s="244" t="s">
        <v>634</v>
      </c>
      <c r="D298" s="245" t="b">
        <v>0</v>
      </c>
      <c r="E298" s="245" t="b">
        <v>0</v>
      </c>
      <c r="F298" s="246" t="b">
        <v>0</v>
      </c>
      <c r="G298" s="246" t="b">
        <v>0</v>
      </c>
      <c r="H298" s="246" t="b">
        <v>1</v>
      </c>
      <c r="I298" s="246" t="b">
        <v>1</v>
      </c>
      <c r="J298" s="247"/>
    </row>
    <row r="299" spans="1:10">
      <c r="A299" s="243" t="s">
        <v>137</v>
      </c>
      <c r="B299" s="243" t="s">
        <v>806</v>
      </c>
      <c r="C299" s="244" t="s">
        <v>635</v>
      </c>
      <c r="D299" s="245" t="b">
        <v>0</v>
      </c>
      <c r="E299" s="245" t="b">
        <v>0</v>
      </c>
      <c r="F299" s="246" t="b">
        <v>0</v>
      </c>
      <c r="G299" s="246" t="b">
        <v>0</v>
      </c>
      <c r="H299" s="246" t="b">
        <v>1</v>
      </c>
      <c r="I299" s="246" t="b">
        <v>1</v>
      </c>
      <c r="J299" s="247"/>
    </row>
    <row r="300" spans="1:10">
      <c r="A300" s="243" t="s">
        <v>138</v>
      </c>
      <c r="B300" s="243" t="s">
        <v>806</v>
      </c>
      <c r="C300" s="244" t="s">
        <v>636</v>
      </c>
      <c r="D300" s="245" t="b">
        <v>0</v>
      </c>
      <c r="E300" s="245" t="b">
        <v>0</v>
      </c>
      <c r="F300" s="246" t="b">
        <v>0</v>
      </c>
      <c r="G300" s="246" t="b">
        <v>0</v>
      </c>
      <c r="H300" s="246" t="b">
        <v>1</v>
      </c>
      <c r="I300" s="246" t="b">
        <v>1</v>
      </c>
      <c r="J300" s="247"/>
    </row>
    <row r="301" spans="1:10">
      <c r="A301" s="243" t="s">
        <v>810</v>
      </c>
      <c r="B301" s="243" t="s">
        <v>806</v>
      </c>
      <c r="C301" s="244" t="s">
        <v>811</v>
      </c>
      <c r="D301" s="245" t="b">
        <v>0</v>
      </c>
      <c r="E301" s="245" t="b">
        <v>0</v>
      </c>
      <c r="F301" s="246" t="b">
        <v>0</v>
      </c>
      <c r="G301" s="246" t="b">
        <v>0</v>
      </c>
      <c r="H301" s="246" t="b">
        <v>1</v>
      </c>
      <c r="I301" s="246" t="b">
        <v>1</v>
      </c>
      <c r="J301" s="247"/>
    </row>
    <row r="302" spans="1:10">
      <c r="A302" s="243" t="s">
        <v>139</v>
      </c>
      <c r="B302" s="243" t="s">
        <v>108</v>
      </c>
      <c r="C302" s="244" t="s">
        <v>637</v>
      </c>
      <c r="D302" s="245" t="b">
        <v>1</v>
      </c>
      <c r="E302" s="245" t="b">
        <v>0</v>
      </c>
      <c r="F302" s="246" t="b">
        <v>0</v>
      </c>
      <c r="G302" s="246" t="b">
        <v>0</v>
      </c>
      <c r="H302" s="246" t="b">
        <v>0</v>
      </c>
      <c r="I302" s="246" t="b">
        <v>0</v>
      </c>
      <c r="J302" s="247"/>
    </row>
    <row r="303" spans="1:10" ht="15">
      <c r="A303" s="256" t="s">
        <v>1154</v>
      </c>
      <c r="B303" s="243" t="s">
        <v>806</v>
      </c>
      <c r="C303" s="238" t="s">
        <v>1148</v>
      </c>
      <c r="D303" s="245" t="b">
        <v>1</v>
      </c>
      <c r="E303" s="245" t="b">
        <v>1</v>
      </c>
      <c r="F303" s="246" t="b">
        <v>0</v>
      </c>
      <c r="G303" s="246" t="b">
        <v>0</v>
      </c>
      <c r="H303" s="246" t="b">
        <v>0</v>
      </c>
      <c r="I303" s="246" t="b">
        <v>0</v>
      </c>
      <c r="J303" s="247"/>
    </row>
    <row r="304" spans="1:10" ht="15">
      <c r="A304" s="256" t="s">
        <v>1155</v>
      </c>
      <c r="B304" s="243" t="s">
        <v>806</v>
      </c>
      <c r="C304" s="238" t="s">
        <v>1149</v>
      </c>
      <c r="D304" s="245" t="b">
        <v>1</v>
      </c>
      <c r="E304" s="245" t="b">
        <v>1</v>
      </c>
      <c r="F304" s="246" t="b">
        <v>0</v>
      </c>
      <c r="G304" s="246" t="b">
        <v>0</v>
      </c>
      <c r="H304" s="246" t="b">
        <v>0</v>
      </c>
      <c r="I304" s="246" t="b">
        <v>0</v>
      </c>
      <c r="J304" s="247"/>
    </row>
    <row r="305" spans="1:10">
      <c r="A305" s="243" t="s">
        <v>140</v>
      </c>
      <c r="B305" s="243" t="s">
        <v>108</v>
      </c>
      <c r="C305" s="244" t="s">
        <v>638</v>
      </c>
      <c r="D305" s="245" t="b">
        <v>1</v>
      </c>
      <c r="E305" s="245" t="b">
        <v>0</v>
      </c>
      <c r="F305" s="246" t="b">
        <v>0</v>
      </c>
      <c r="G305" s="246" t="b">
        <v>0</v>
      </c>
      <c r="H305" s="246" t="b">
        <v>0</v>
      </c>
      <c r="I305" s="246" t="b">
        <v>0</v>
      </c>
      <c r="J305" s="247"/>
    </row>
    <row r="306" spans="1:10" ht="15">
      <c r="A306" s="256" t="s">
        <v>1156</v>
      </c>
      <c r="B306" s="243" t="s">
        <v>806</v>
      </c>
      <c r="C306" s="238" t="s">
        <v>1150</v>
      </c>
      <c r="D306" s="245" t="b">
        <v>1</v>
      </c>
      <c r="E306" s="245" t="b">
        <v>1</v>
      </c>
      <c r="F306" s="246" t="b">
        <v>0</v>
      </c>
      <c r="G306" s="246" t="b">
        <v>0</v>
      </c>
      <c r="H306" s="246" t="b">
        <v>0</v>
      </c>
      <c r="I306" s="246" t="b">
        <v>0</v>
      </c>
      <c r="J306" s="247"/>
    </row>
    <row r="307" spans="1:10">
      <c r="A307" s="243" t="s">
        <v>639</v>
      </c>
      <c r="B307" s="243" t="s">
        <v>640</v>
      </c>
      <c r="C307" s="244" t="s">
        <v>640</v>
      </c>
      <c r="D307" s="245" t="b">
        <v>0</v>
      </c>
      <c r="E307" s="245" t="b">
        <v>0</v>
      </c>
      <c r="F307" s="246" t="b">
        <v>1</v>
      </c>
      <c r="G307" s="246" t="b">
        <v>0</v>
      </c>
      <c r="H307" s="246" t="b">
        <v>0</v>
      </c>
      <c r="I307" s="246" t="b">
        <v>0</v>
      </c>
      <c r="J307" s="247"/>
    </row>
    <row r="308" spans="1:10">
      <c r="A308" s="243" t="s">
        <v>141</v>
      </c>
      <c r="B308" s="243" t="s">
        <v>498</v>
      </c>
      <c r="C308" s="244" t="s">
        <v>641</v>
      </c>
      <c r="D308" s="245" t="b">
        <v>0</v>
      </c>
      <c r="E308" s="245" t="b">
        <v>0</v>
      </c>
      <c r="F308" s="246" t="b">
        <v>0</v>
      </c>
      <c r="G308" s="246" t="b">
        <v>0</v>
      </c>
      <c r="H308" s="246" t="b">
        <v>1</v>
      </c>
      <c r="I308" s="246" t="b">
        <v>1</v>
      </c>
      <c r="J308" s="247"/>
    </row>
    <row r="309" spans="1:10">
      <c r="A309" s="243" t="s">
        <v>642</v>
      </c>
      <c r="B309" s="243" t="s">
        <v>640</v>
      </c>
      <c r="C309" s="244" t="s">
        <v>643</v>
      </c>
      <c r="D309" s="245" t="b">
        <v>0</v>
      </c>
      <c r="E309" s="245" t="b">
        <v>0</v>
      </c>
      <c r="F309" s="246" t="b">
        <v>0</v>
      </c>
      <c r="G309" s="246" t="b">
        <v>0</v>
      </c>
      <c r="H309" s="246" t="b">
        <v>0</v>
      </c>
      <c r="I309" s="246" t="b">
        <v>0</v>
      </c>
      <c r="J309" s="247"/>
    </row>
    <row r="310" spans="1:10">
      <c r="A310" s="243" t="s">
        <v>644</v>
      </c>
      <c r="B310" s="243" t="s">
        <v>498</v>
      </c>
      <c r="C310" s="244" t="s">
        <v>812</v>
      </c>
      <c r="D310" s="245" t="b">
        <v>0</v>
      </c>
      <c r="E310" s="245" t="b">
        <v>0</v>
      </c>
      <c r="F310" s="246" t="b">
        <v>0</v>
      </c>
      <c r="G310" s="246" t="b">
        <v>0</v>
      </c>
      <c r="H310" s="246" t="b">
        <v>0</v>
      </c>
      <c r="I310" s="246" t="b">
        <v>0</v>
      </c>
      <c r="J310" s="247"/>
    </row>
    <row r="311" spans="1:10">
      <c r="A311" s="243" t="s">
        <v>813</v>
      </c>
      <c r="B311" s="243" t="s">
        <v>640</v>
      </c>
      <c r="C311" s="244" t="s">
        <v>814</v>
      </c>
      <c r="D311" s="245" t="b">
        <v>0</v>
      </c>
      <c r="E311" s="245" t="b">
        <v>0</v>
      </c>
      <c r="F311" s="246" t="b">
        <v>0</v>
      </c>
      <c r="G311" s="246" t="b">
        <v>0</v>
      </c>
      <c r="H311" s="246" t="b">
        <v>0</v>
      </c>
      <c r="I311" s="246" t="b">
        <v>0</v>
      </c>
      <c r="J311" s="247"/>
    </row>
    <row r="312" spans="1:10">
      <c r="A312" s="243" t="s">
        <v>645</v>
      </c>
      <c r="B312" s="243" t="s">
        <v>640</v>
      </c>
      <c r="C312" s="244" t="s">
        <v>205</v>
      </c>
      <c r="D312" s="245" t="b">
        <v>1</v>
      </c>
      <c r="E312" s="245" t="b">
        <v>1</v>
      </c>
      <c r="F312" s="246" t="b">
        <v>0</v>
      </c>
      <c r="G312" s="246" t="b">
        <v>0</v>
      </c>
      <c r="H312" s="246" t="b">
        <v>0</v>
      </c>
      <c r="I312" s="246" t="b">
        <v>0</v>
      </c>
      <c r="J312" s="247"/>
    </row>
    <row r="313" spans="1:10">
      <c r="A313" s="243" t="s">
        <v>646</v>
      </c>
      <c r="B313" s="243" t="s">
        <v>640</v>
      </c>
      <c r="C313" s="244" t="s">
        <v>206</v>
      </c>
      <c r="D313" s="245" t="b">
        <v>1</v>
      </c>
      <c r="E313" s="245" t="b">
        <v>1</v>
      </c>
      <c r="F313" s="246" t="b">
        <v>0</v>
      </c>
      <c r="G313" s="246" t="b">
        <v>0</v>
      </c>
      <c r="H313" s="246" t="b">
        <v>0</v>
      </c>
      <c r="I313" s="246" t="b">
        <v>0</v>
      </c>
      <c r="J313" s="247"/>
    </row>
    <row r="314" spans="1:10">
      <c r="A314" s="243" t="s">
        <v>647</v>
      </c>
      <c r="B314" s="243" t="s">
        <v>640</v>
      </c>
      <c r="C314" s="244" t="s">
        <v>207</v>
      </c>
      <c r="D314" s="245" t="b">
        <v>1</v>
      </c>
      <c r="E314" s="245" t="b">
        <v>1</v>
      </c>
      <c r="F314" s="246" t="b">
        <v>0</v>
      </c>
      <c r="G314" s="246" t="b">
        <v>0</v>
      </c>
      <c r="H314" s="246" t="b">
        <v>0</v>
      </c>
      <c r="I314" s="246" t="b">
        <v>0</v>
      </c>
      <c r="J314" s="247"/>
    </row>
    <row r="315" spans="1:10">
      <c r="A315" s="243" t="s">
        <v>648</v>
      </c>
      <c r="B315" s="243" t="s">
        <v>640</v>
      </c>
      <c r="C315" s="244" t="s">
        <v>649</v>
      </c>
      <c r="D315" s="245" t="b">
        <v>1</v>
      </c>
      <c r="E315" s="245" t="b">
        <v>1</v>
      </c>
      <c r="F315" s="246" t="b">
        <v>0</v>
      </c>
      <c r="G315" s="246" t="b">
        <v>0</v>
      </c>
      <c r="H315" s="246" t="b">
        <v>0</v>
      </c>
      <c r="I315" s="246" t="b">
        <v>0</v>
      </c>
      <c r="J315" s="247"/>
    </row>
    <row r="316" spans="1:10">
      <c r="A316" s="256" t="s">
        <v>1078</v>
      </c>
      <c r="B316" s="243" t="s">
        <v>640</v>
      </c>
      <c r="C316" s="158" t="s">
        <v>1126</v>
      </c>
      <c r="D316" s="245" t="b">
        <v>1</v>
      </c>
      <c r="E316" s="245" t="b">
        <v>0</v>
      </c>
      <c r="F316" s="246" t="b">
        <v>0</v>
      </c>
      <c r="G316" s="246" t="b">
        <v>0</v>
      </c>
      <c r="H316" s="246" t="b">
        <v>0</v>
      </c>
      <c r="I316" s="246" t="b">
        <v>0</v>
      </c>
      <c r="J316" s="247"/>
    </row>
    <row r="317" spans="1:10">
      <c r="A317" s="243" t="s">
        <v>650</v>
      </c>
      <c r="B317" s="243" t="s">
        <v>651</v>
      </c>
      <c r="C317" s="244" t="s">
        <v>651</v>
      </c>
      <c r="D317" s="245" t="b">
        <v>0</v>
      </c>
      <c r="E317" s="245" t="b">
        <v>0</v>
      </c>
      <c r="F317" s="246" t="b">
        <v>1</v>
      </c>
      <c r="G317" s="246" t="b">
        <v>1</v>
      </c>
      <c r="H317" s="246" t="b">
        <v>1</v>
      </c>
      <c r="I317" s="246" t="b">
        <v>1</v>
      </c>
      <c r="J317" s="247"/>
    </row>
    <row r="318" spans="1:10">
      <c r="A318" s="243" t="s">
        <v>652</v>
      </c>
      <c r="B318" s="243" t="s">
        <v>651</v>
      </c>
      <c r="C318" s="244" t="s">
        <v>653</v>
      </c>
      <c r="D318" s="245" t="b">
        <v>1</v>
      </c>
      <c r="E318" s="245" t="b">
        <v>1</v>
      </c>
      <c r="F318" s="246" t="b">
        <v>0</v>
      </c>
      <c r="G318" s="246" t="b">
        <v>0</v>
      </c>
      <c r="H318" s="246" t="b">
        <v>0</v>
      </c>
      <c r="I318" s="246" t="b">
        <v>0</v>
      </c>
      <c r="J318" s="247"/>
    </row>
    <row r="319" spans="1:10">
      <c r="A319" s="243" t="s">
        <v>654</v>
      </c>
      <c r="B319" s="243" t="s">
        <v>651</v>
      </c>
      <c r="C319" s="244" t="s">
        <v>815</v>
      </c>
      <c r="D319" s="245" t="b">
        <v>1</v>
      </c>
      <c r="E319" s="245" t="b">
        <v>1</v>
      </c>
      <c r="F319" s="246" t="b">
        <v>0</v>
      </c>
      <c r="G319" s="246" t="b">
        <v>0</v>
      </c>
      <c r="H319" s="246" t="b">
        <v>0</v>
      </c>
      <c r="I319" s="246" t="b">
        <v>0</v>
      </c>
      <c r="J319" s="247"/>
    </row>
    <row r="320" spans="1:10">
      <c r="A320" s="243" t="s">
        <v>655</v>
      </c>
      <c r="B320" s="243" t="s">
        <v>651</v>
      </c>
      <c r="C320" s="244" t="s">
        <v>656</v>
      </c>
      <c r="D320" s="245" t="b">
        <v>1</v>
      </c>
      <c r="E320" s="245" t="b">
        <v>1</v>
      </c>
      <c r="F320" s="246" t="b">
        <v>0</v>
      </c>
      <c r="G320" s="246" t="b">
        <v>0</v>
      </c>
      <c r="H320" s="246" t="b">
        <v>0</v>
      </c>
      <c r="I320" s="246" t="b">
        <v>0</v>
      </c>
      <c r="J320" s="247"/>
    </row>
    <row r="321" spans="1:10">
      <c r="A321" s="243" t="s">
        <v>657</v>
      </c>
      <c r="B321" s="243" t="s">
        <v>651</v>
      </c>
      <c r="C321" s="244" t="s">
        <v>658</v>
      </c>
      <c r="D321" s="245" t="b">
        <v>1</v>
      </c>
      <c r="E321" s="245" t="b">
        <v>1</v>
      </c>
      <c r="F321" s="246" t="b">
        <v>0</v>
      </c>
      <c r="G321" s="246" t="b">
        <v>0</v>
      </c>
      <c r="H321" s="246" t="b">
        <v>0</v>
      </c>
      <c r="I321" s="246" t="b">
        <v>0</v>
      </c>
      <c r="J321" s="247"/>
    </row>
    <row r="322" spans="1:10">
      <c r="A322" s="243" t="s">
        <v>659</v>
      </c>
      <c r="B322" s="243" t="s">
        <v>651</v>
      </c>
      <c r="C322" s="244" t="s">
        <v>660</v>
      </c>
      <c r="D322" s="245" t="b">
        <v>1</v>
      </c>
      <c r="E322" s="245" t="b">
        <v>1</v>
      </c>
      <c r="F322" s="246" t="b">
        <v>0</v>
      </c>
      <c r="G322" s="246" t="b">
        <v>0</v>
      </c>
      <c r="H322" s="246" t="b">
        <v>0</v>
      </c>
      <c r="I322" s="246" t="b">
        <v>0</v>
      </c>
      <c r="J322" s="247"/>
    </row>
    <row r="323" spans="1:10">
      <c r="A323" s="243" t="s">
        <v>142</v>
      </c>
      <c r="B323" s="243" t="s">
        <v>651</v>
      </c>
      <c r="C323" s="244" t="s">
        <v>661</v>
      </c>
      <c r="D323" s="245" t="b">
        <v>1</v>
      </c>
      <c r="E323" s="245" t="b">
        <v>1</v>
      </c>
      <c r="F323" s="246" t="b">
        <v>0</v>
      </c>
      <c r="G323" s="246" t="b">
        <v>0</v>
      </c>
      <c r="H323" s="246" t="b">
        <v>0</v>
      </c>
      <c r="I323" s="246" t="b">
        <v>0</v>
      </c>
      <c r="J323" s="247"/>
    </row>
    <row r="324" spans="1:10">
      <c r="A324" s="243" t="s">
        <v>143</v>
      </c>
      <c r="B324" s="243" t="s">
        <v>651</v>
      </c>
      <c r="C324" s="244" t="s">
        <v>662</v>
      </c>
      <c r="D324" s="245" t="b">
        <v>1</v>
      </c>
      <c r="E324" s="245" t="b">
        <v>1</v>
      </c>
      <c r="F324" s="246" t="b">
        <v>0</v>
      </c>
      <c r="G324" s="246" t="b">
        <v>0</v>
      </c>
      <c r="H324" s="246" t="b">
        <v>0</v>
      </c>
      <c r="I324" s="246" t="b">
        <v>0</v>
      </c>
      <c r="J324" s="247"/>
    </row>
    <row r="325" spans="1:10">
      <c r="A325" s="243" t="s">
        <v>663</v>
      </c>
      <c r="B325" s="243" t="s">
        <v>651</v>
      </c>
      <c r="C325" s="244" t="s">
        <v>816</v>
      </c>
      <c r="D325" s="245" t="b">
        <v>1</v>
      </c>
      <c r="E325" s="245" t="b">
        <v>1</v>
      </c>
      <c r="F325" s="246" t="b">
        <v>0</v>
      </c>
      <c r="G325" s="246" t="b">
        <v>0</v>
      </c>
      <c r="H325" s="246" t="b">
        <v>0</v>
      </c>
      <c r="I325" s="246" t="b">
        <v>0</v>
      </c>
      <c r="J325" s="247"/>
    </row>
    <row r="326" spans="1:10">
      <c r="A326" s="243" t="s">
        <v>144</v>
      </c>
      <c r="B326" s="243" t="s">
        <v>651</v>
      </c>
      <c r="C326" s="244" t="s">
        <v>817</v>
      </c>
      <c r="D326" s="245" t="b">
        <v>1</v>
      </c>
      <c r="E326" s="245" t="b">
        <v>1</v>
      </c>
      <c r="F326" s="246" t="b">
        <v>0</v>
      </c>
      <c r="G326" s="246" t="b">
        <v>0</v>
      </c>
      <c r="H326" s="246" t="b">
        <v>0</v>
      </c>
      <c r="I326" s="246" t="b">
        <v>0</v>
      </c>
      <c r="J326" s="247"/>
    </row>
    <row r="327" spans="1:10">
      <c r="A327" s="243" t="s">
        <v>664</v>
      </c>
      <c r="B327" s="243" t="s">
        <v>651</v>
      </c>
      <c r="C327" s="244" t="s">
        <v>665</v>
      </c>
      <c r="D327" s="245" t="b">
        <v>1</v>
      </c>
      <c r="E327" s="245" t="b">
        <v>1</v>
      </c>
      <c r="F327" s="246" t="b">
        <v>0</v>
      </c>
      <c r="G327" s="246" t="b">
        <v>0</v>
      </c>
      <c r="H327" s="246" t="b">
        <v>0</v>
      </c>
      <c r="I327" s="246" t="b">
        <v>0</v>
      </c>
      <c r="J327" s="247"/>
    </row>
    <row r="328" spans="1:10">
      <c r="A328" s="243" t="s">
        <v>145</v>
      </c>
      <c r="B328" s="243" t="s">
        <v>651</v>
      </c>
      <c r="C328" s="244" t="s">
        <v>666</v>
      </c>
      <c r="D328" s="245" t="b">
        <v>1</v>
      </c>
      <c r="E328" s="245" t="b">
        <v>1</v>
      </c>
      <c r="F328" s="246" t="b">
        <v>0</v>
      </c>
      <c r="G328" s="246" t="b">
        <v>0</v>
      </c>
      <c r="H328" s="246" t="b">
        <v>0</v>
      </c>
      <c r="I328" s="246" t="b">
        <v>0</v>
      </c>
      <c r="J328" s="247"/>
    </row>
    <row r="329" spans="1:10">
      <c r="A329" s="243" t="s">
        <v>667</v>
      </c>
      <c r="B329" s="243" t="s">
        <v>651</v>
      </c>
      <c r="C329" s="244" t="s">
        <v>668</v>
      </c>
      <c r="D329" s="245" t="b">
        <v>1</v>
      </c>
      <c r="E329" s="245" t="b">
        <v>1</v>
      </c>
      <c r="F329" s="246" t="b">
        <v>0</v>
      </c>
      <c r="G329" s="246" t="b">
        <v>0</v>
      </c>
      <c r="H329" s="246" t="b">
        <v>0</v>
      </c>
      <c r="I329" s="246" t="b">
        <v>0</v>
      </c>
      <c r="J329" s="247"/>
    </row>
    <row r="330" spans="1:10">
      <c r="A330" s="243" t="s">
        <v>669</v>
      </c>
      <c r="B330" s="243" t="s">
        <v>651</v>
      </c>
      <c r="C330" s="244" t="s">
        <v>670</v>
      </c>
      <c r="D330" s="245" t="b">
        <v>1</v>
      </c>
      <c r="E330" s="245" t="b">
        <v>1</v>
      </c>
      <c r="F330" s="246" t="b">
        <v>0</v>
      </c>
      <c r="G330" s="246" t="b">
        <v>0</v>
      </c>
      <c r="H330" s="246" t="b">
        <v>0</v>
      </c>
      <c r="I330" s="246" t="b">
        <v>0</v>
      </c>
      <c r="J330" s="247"/>
    </row>
    <row r="331" spans="1:10">
      <c r="A331" s="243" t="s">
        <v>671</v>
      </c>
      <c r="B331" s="243" t="s">
        <v>651</v>
      </c>
      <c r="C331" s="244" t="s">
        <v>672</v>
      </c>
      <c r="D331" s="245" t="b">
        <v>1</v>
      </c>
      <c r="E331" s="245" t="b">
        <v>1</v>
      </c>
      <c r="F331" s="246" t="b">
        <v>0</v>
      </c>
      <c r="G331" s="246" t="b">
        <v>0</v>
      </c>
      <c r="H331" s="246" t="b">
        <v>0</v>
      </c>
      <c r="I331" s="246" t="b">
        <v>0</v>
      </c>
      <c r="J331" s="247"/>
    </row>
    <row r="332" spans="1:10">
      <c r="A332" s="243" t="s">
        <v>146</v>
      </c>
      <c r="B332" s="243" t="s">
        <v>651</v>
      </c>
      <c r="C332" s="244" t="s">
        <v>673</v>
      </c>
      <c r="D332" s="245" t="b">
        <v>1</v>
      </c>
      <c r="E332" s="245" t="b">
        <v>1</v>
      </c>
      <c r="F332" s="246" t="b">
        <v>0</v>
      </c>
      <c r="G332" s="246" t="b">
        <v>0</v>
      </c>
      <c r="H332" s="246" t="b">
        <v>0</v>
      </c>
      <c r="I332" s="246" t="b">
        <v>0</v>
      </c>
      <c r="J332" s="247"/>
    </row>
    <row r="333" spans="1:10">
      <c r="A333" s="243" t="s">
        <v>674</v>
      </c>
      <c r="B333" s="243" t="s">
        <v>651</v>
      </c>
      <c r="C333" s="244" t="s">
        <v>675</v>
      </c>
      <c r="D333" s="245" t="b">
        <v>1</v>
      </c>
      <c r="E333" s="245" t="b">
        <v>1</v>
      </c>
      <c r="F333" s="246" t="b">
        <v>0</v>
      </c>
      <c r="G333" s="246" t="b">
        <v>0</v>
      </c>
      <c r="H333" s="246" t="b">
        <v>0</v>
      </c>
      <c r="I333" s="246" t="b">
        <v>0</v>
      </c>
      <c r="J333" s="247"/>
    </row>
    <row r="334" spans="1:10">
      <c r="A334" s="243" t="s">
        <v>147</v>
      </c>
      <c r="B334" s="243" t="s">
        <v>651</v>
      </c>
      <c r="C334" s="244" t="s">
        <v>676</v>
      </c>
      <c r="D334" s="245" t="b">
        <v>1</v>
      </c>
      <c r="E334" s="245" t="b">
        <v>0</v>
      </c>
      <c r="F334" s="246" t="b">
        <v>0</v>
      </c>
      <c r="G334" s="246" t="b">
        <v>0</v>
      </c>
      <c r="H334" s="246" t="b">
        <v>0</v>
      </c>
      <c r="I334" s="246" t="b">
        <v>0</v>
      </c>
      <c r="J334" s="247"/>
    </row>
    <row r="335" spans="1:10">
      <c r="A335" s="243" t="s">
        <v>677</v>
      </c>
      <c r="B335" s="243" t="s">
        <v>651</v>
      </c>
      <c r="C335" s="244" t="s">
        <v>678</v>
      </c>
      <c r="D335" s="245" t="b">
        <v>1</v>
      </c>
      <c r="E335" s="245" t="b">
        <v>0</v>
      </c>
      <c r="F335" s="246" t="b">
        <v>0</v>
      </c>
      <c r="G335" s="246" t="b">
        <v>0</v>
      </c>
      <c r="H335" s="246" t="b">
        <v>0</v>
      </c>
      <c r="I335" s="246" t="b">
        <v>0</v>
      </c>
      <c r="J335" s="247"/>
    </row>
    <row r="336" spans="1:10">
      <c r="A336" s="243" t="s">
        <v>679</v>
      </c>
      <c r="B336" s="243" t="s">
        <v>108</v>
      </c>
      <c r="C336" s="244" t="s">
        <v>680</v>
      </c>
      <c r="D336" s="245" t="b">
        <v>1</v>
      </c>
      <c r="E336" s="245" t="b">
        <v>1</v>
      </c>
      <c r="F336" s="246" t="b">
        <v>0</v>
      </c>
      <c r="G336" s="246" t="b">
        <v>0</v>
      </c>
      <c r="H336" s="246" t="b">
        <v>0</v>
      </c>
      <c r="I336" s="246" t="b">
        <v>0</v>
      </c>
      <c r="J336" s="247"/>
    </row>
    <row r="337" spans="1:10">
      <c r="A337" s="243" t="s">
        <v>148</v>
      </c>
      <c r="B337" s="243" t="s">
        <v>651</v>
      </c>
      <c r="C337" s="244" t="s">
        <v>681</v>
      </c>
      <c r="D337" s="245" t="b">
        <v>1</v>
      </c>
      <c r="E337" s="245" t="b">
        <v>0</v>
      </c>
      <c r="F337" s="246" t="b">
        <v>0</v>
      </c>
      <c r="G337" s="246" t="b">
        <v>0</v>
      </c>
      <c r="H337" s="246" t="b">
        <v>0</v>
      </c>
      <c r="I337" s="246" t="b">
        <v>0</v>
      </c>
      <c r="J337" s="247"/>
    </row>
    <row r="338" spans="1:10">
      <c r="A338" s="243" t="s">
        <v>682</v>
      </c>
      <c r="B338" s="243" t="s">
        <v>651</v>
      </c>
      <c r="C338" s="244" t="s">
        <v>683</v>
      </c>
      <c r="D338" s="245" t="b">
        <v>1</v>
      </c>
      <c r="E338" s="245" t="b">
        <v>1</v>
      </c>
      <c r="F338" s="246" t="b">
        <v>0</v>
      </c>
      <c r="G338" s="246" t="b">
        <v>0</v>
      </c>
      <c r="H338" s="246" t="b">
        <v>0</v>
      </c>
      <c r="I338" s="246" t="b">
        <v>0</v>
      </c>
      <c r="J338" s="247"/>
    </row>
    <row r="339" spans="1:10">
      <c r="A339" s="243" t="s">
        <v>149</v>
      </c>
      <c r="B339" s="243" t="s">
        <v>651</v>
      </c>
      <c r="C339" s="244" t="s">
        <v>684</v>
      </c>
      <c r="D339" s="245" t="b">
        <v>1</v>
      </c>
      <c r="E339" s="245" t="b">
        <v>1</v>
      </c>
      <c r="F339" s="246" t="b">
        <v>0</v>
      </c>
      <c r="G339" s="246" t="b">
        <v>0</v>
      </c>
      <c r="H339" s="246" t="b">
        <v>0</v>
      </c>
      <c r="I339" s="246" t="b">
        <v>0</v>
      </c>
      <c r="J339" s="247"/>
    </row>
    <row r="340" spans="1:10">
      <c r="A340" s="256" t="s">
        <v>1023</v>
      </c>
      <c r="B340" s="243" t="s">
        <v>108</v>
      </c>
      <c r="C340" s="158" t="s">
        <v>1127</v>
      </c>
      <c r="D340" s="245" t="b">
        <v>1</v>
      </c>
      <c r="E340" s="245" t="b">
        <v>1</v>
      </c>
      <c r="F340" s="246" t="b">
        <v>0</v>
      </c>
      <c r="G340" s="246" t="b">
        <v>0</v>
      </c>
      <c r="H340" s="246" t="b">
        <v>0</v>
      </c>
      <c r="I340" s="246" t="b">
        <v>0</v>
      </c>
      <c r="J340" s="247"/>
    </row>
    <row r="341" spans="1:10">
      <c r="A341" s="243" t="s">
        <v>685</v>
      </c>
      <c r="B341" s="243" t="s">
        <v>651</v>
      </c>
      <c r="C341" s="244" t="s">
        <v>686</v>
      </c>
      <c r="D341" s="245" t="b">
        <v>1</v>
      </c>
      <c r="E341" s="245" t="b">
        <v>1</v>
      </c>
      <c r="F341" s="246" t="b">
        <v>0</v>
      </c>
      <c r="G341" s="246" t="b">
        <v>0</v>
      </c>
      <c r="H341" s="246" t="b">
        <v>0</v>
      </c>
      <c r="I341" s="246" t="b">
        <v>0</v>
      </c>
      <c r="J341" s="247"/>
    </row>
    <row r="342" spans="1:10">
      <c r="A342" s="243" t="s">
        <v>687</v>
      </c>
      <c r="B342" s="243" t="s">
        <v>651</v>
      </c>
      <c r="C342" s="244" t="s">
        <v>818</v>
      </c>
      <c r="D342" s="245" t="b">
        <v>1</v>
      </c>
      <c r="E342" s="245" t="b">
        <v>0</v>
      </c>
      <c r="F342" s="246" t="b">
        <v>0</v>
      </c>
      <c r="G342" s="246" t="b">
        <v>0</v>
      </c>
      <c r="H342" s="246" t="b">
        <v>0</v>
      </c>
      <c r="I342" s="246" t="b">
        <v>0</v>
      </c>
      <c r="J342" s="247"/>
    </row>
    <row r="343" spans="1:10">
      <c r="A343" s="243" t="s">
        <v>688</v>
      </c>
      <c r="B343" s="243" t="s">
        <v>651</v>
      </c>
      <c r="C343" s="244" t="s">
        <v>819</v>
      </c>
      <c r="D343" s="245" t="b">
        <v>1</v>
      </c>
      <c r="E343" s="245" t="b">
        <v>0</v>
      </c>
      <c r="F343" s="246" t="b">
        <v>0</v>
      </c>
      <c r="G343" s="246" t="b">
        <v>0</v>
      </c>
      <c r="H343" s="246" t="b">
        <v>0</v>
      </c>
      <c r="I343" s="246" t="b">
        <v>0</v>
      </c>
      <c r="J343" s="247"/>
    </row>
    <row r="344" spans="1:10">
      <c r="A344" s="243" t="s">
        <v>689</v>
      </c>
      <c r="B344" s="243" t="s">
        <v>651</v>
      </c>
      <c r="C344" s="244" t="s">
        <v>690</v>
      </c>
      <c r="D344" s="245" t="b">
        <v>1</v>
      </c>
      <c r="E344" s="245" t="b">
        <v>1</v>
      </c>
      <c r="F344" s="246" t="b">
        <v>0</v>
      </c>
      <c r="G344" s="246" t="b">
        <v>0</v>
      </c>
      <c r="H344" s="246" t="b">
        <v>0</v>
      </c>
      <c r="I344" s="246" t="b">
        <v>0</v>
      </c>
      <c r="J344" s="247"/>
    </row>
    <row r="345" spans="1:10">
      <c r="A345" s="243" t="s">
        <v>691</v>
      </c>
      <c r="B345" s="243" t="s">
        <v>651</v>
      </c>
      <c r="C345" s="244" t="s">
        <v>692</v>
      </c>
      <c r="D345" s="245" t="b">
        <v>0</v>
      </c>
      <c r="E345" s="245" t="b">
        <v>0</v>
      </c>
      <c r="F345" s="246" t="b">
        <v>0</v>
      </c>
      <c r="G345" s="246" t="b">
        <v>0</v>
      </c>
      <c r="H345" s="246" t="b">
        <v>0</v>
      </c>
      <c r="I345" s="246" t="b">
        <v>0</v>
      </c>
      <c r="J345" s="247"/>
    </row>
    <row r="346" spans="1:10">
      <c r="A346" s="243" t="s">
        <v>693</v>
      </c>
      <c r="B346" s="243" t="s">
        <v>651</v>
      </c>
      <c r="C346" s="244" t="s">
        <v>820</v>
      </c>
      <c r="D346" s="245" t="b">
        <v>1</v>
      </c>
      <c r="E346" s="245" t="b">
        <v>0</v>
      </c>
      <c r="F346" s="246" t="b">
        <v>0</v>
      </c>
      <c r="G346" s="246" t="b">
        <v>0</v>
      </c>
      <c r="H346" s="246" t="b">
        <v>0</v>
      </c>
      <c r="I346" s="246" t="b">
        <v>0</v>
      </c>
    </row>
    <row r="347" spans="1:10">
      <c r="A347" s="243" t="s">
        <v>821</v>
      </c>
      <c r="B347" s="243" t="s">
        <v>651</v>
      </c>
      <c r="C347" s="244" t="s">
        <v>822</v>
      </c>
      <c r="D347" s="245" t="b">
        <v>0</v>
      </c>
      <c r="E347" s="245" t="b">
        <v>0</v>
      </c>
      <c r="F347" s="246" t="b">
        <v>0</v>
      </c>
      <c r="G347" s="246" t="b">
        <v>0</v>
      </c>
      <c r="H347" s="246" t="b">
        <v>0</v>
      </c>
      <c r="I347" s="246" t="b">
        <v>0</v>
      </c>
    </row>
    <row r="348" spans="1:10">
      <c r="A348" s="243" t="s">
        <v>823</v>
      </c>
      <c r="B348" s="243" t="s">
        <v>651</v>
      </c>
      <c r="C348" s="244" t="s">
        <v>824</v>
      </c>
      <c r="D348" s="245" t="b">
        <v>0</v>
      </c>
      <c r="E348" s="245" t="b">
        <v>0</v>
      </c>
      <c r="F348" s="246" t="b">
        <v>0</v>
      </c>
      <c r="G348" s="246" t="b">
        <v>0</v>
      </c>
      <c r="H348" s="246" t="b">
        <v>0</v>
      </c>
      <c r="I348" s="246" t="b">
        <v>0</v>
      </c>
    </row>
    <row r="349" spans="1:10">
      <c r="A349" s="256" t="s">
        <v>1079</v>
      </c>
      <c r="B349" s="243" t="s">
        <v>651</v>
      </c>
      <c r="C349" s="257" t="s">
        <v>1128</v>
      </c>
      <c r="D349" s="245" t="b">
        <v>1</v>
      </c>
      <c r="E349" s="245" t="b">
        <v>0</v>
      </c>
      <c r="F349" s="246" t="b">
        <v>0</v>
      </c>
      <c r="G349" s="246" t="b">
        <v>0</v>
      </c>
      <c r="H349" s="246" t="b">
        <v>0</v>
      </c>
      <c r="I349" s="246" t="b">
        <v>0</v>
      </c>
    </row>
    <row r="350" spans="1:10">
      <c r="A350" s="243" t="s">
        <v>694</v>
      </c>
      <c r="B350" s="243" t="s">
        <v>651</v>
      </c>
      <c r="C350" s="244" t="s">
        <v>695</v>
      </c>
      <c r="D350" s="245" t="b">
        <v>1</v>
      </c>
      <c r="E350" s="245" t="b">
        <v>0</v>
      </c>
      <c r="F350" s="246" t="b">
        <v>0</v>
      </c>
      <c r="G350" s="246" t="b">
        <v>0</v>
      </c>
      <c r="H350" s="246" t="b">
        <v>0</v>
      </c>
      <c r="I350" s="246" t="b">
        <v>0</v>
      </c>
    </row>
    <row r="351" spans="1:10">
      <c r="A351" s="243" t="s">
        <v>825</v>
      </c>
      <c r="B351" s="243" t="s">
        <v>651</v>
      </c>
      <c r="C351" s="244" t="s">
        <v>826</v>
      </c>
      <c r="D351" s="245" t="b">
        <v>1</v>
      </c>
      <c r="E351" s="245" t="b">
        <v>0</v>
      </c>
      <c r="F351" s="246" t="b">
        <v>0</v>
      </c>
      <c r="G351" s="246" t="b">
        <v>0</v>
      </c>
      <c r="H351" s="246" t="b">
        <v>0</v>
      </c>
      <c r="I351" s="246" t="b">
        <v>0</v>
      </c>
    </row>
    <row r="352" spans="1:10">
      <c r="A352" s="243" t="s">
        <v>827</v>
      </c>
      <c r="B352" s="243" t="s">
        <v>651</v>
      </c>
      <c r="C352" s="244" t="s">
        <v>828</v>
      </c>
      <c r="D352" s="245" t="b">
        <v>1</v>
      </c>
      <c r="E352" s="245" t="b">
        <v>0</v>
      </c>
      <c r="F352" s="246" t="b">
        <v>0</v>
      </c>
      <c r="G352" s="246" t="b">
        <v>0</v>
      </c>
      <c r="H352" s="246" t="b">
        <v>0</v>
      </c>
      <c r="I352" s="246" t="b">
        <v>0</v>
      </c>
    </row>
    <row r="353" spans="1:9">
      <c r="A353" s="243" t="s">
        <v>829</v>
      </c>
      <c r="B353" s="243" t="s">
        <v>651</v>
      </c>
      <c r="C353" s="244" t="s">
        <v>830</v>
      </c>
      <c r="D353" s="245" t="b">
        <v>0</v>
      </c>
      <c r="E353" s="245" t="b">
        <v>0</v>
      </c>
      <c r="F353" s="246" t="b">
        <v>0</v>
      </c>
      <c r="G353" s="246" t="b">
        <v>0</v>
      </c>
      <c r="H353" s="246" t="b">
        <v>0</v>
      </c>
      <c r="I353" s="246" t="b">
        <v>0</v>
      </c>
    </row>
    <row r="354" spans="1:9">
      <c r="A354" s="243" t="s">
        <v>831</v>
      </c>
      <c r="B354" s="243" t="s">
        <v>651</v>
      </c>
      <c r="C354" s="244" t="s">
        <v>832</v>
      </c>
      <c r="D354" s="245" t="b">
        <v>0</v>
      </c>
      <c r="E354" s="245" t="b">
        <v>0</v>
      </c>
      <c r="F354" s="246" t="b">
        <v>0</v>
      </c>
      <c r="G354" s="246" t="b">
        <v>0</v>
      </c>
      <c r="H354" s="246" t="b">
        <v>0</v>
      </c>
      <c r="I354" s="246" t="b">
        <v>0</v>
      </c>
    </row>
    <row r="355" spans="1:9">
      <c r="A355" s="243" t="s">
        <v>833</v>
      </c>
      <c r="B355" s="243" t="s">
        <v>651</v>
      </c>
      <c r="C355" s="244" t="s">
        <v>834</v>
      </c>
      <c r="D355" s="245" t="b">
        <v>0</v>
      </c>
      <c r="E355" s="245" t="b">
        <v>0</v>
      </c>
      <c r="F355" s="246" t="b">
        <v>0</v>
      </c>
      <c r="G355" s="246" t="b">
        <v>0</v>
      </c>
      <c r="H355" s="246" t="b">
        <v>0</v>
      </c>
      <c r="I355" s="246" t="b">
        <v>0</v>
      </c>
    </row>
    <row r="356" spans="1:9">
      <c r="A356" s="243" t="s">
        <v>835</v>
      </c>
      <c r="B356" s="243" t="s">
        <v>651</v>
      </c>
      <c r="C356" s="244" t="s">
        <v>836</v>
      </c>
      <c r="D356" s="245" t="b">
        <v>1</v>
      </c>
      <c r="E356" s="245" t="b">
        <v>1</v>
      </c>
      <c r="F356" s="246" t="b">
        <v>0</v>
      </c>
      <c r="G356" s="246" t="b">
        <v>0</v>
      </c>
      <c r="H356" s="246" t="b">
        <v>0</v>
      </c>
      <c r="I356" s="246" t="b">
        <v>0</v>
      </c>
    </row>
    <row r="357" spans="1:9">
      <c r="A357" s="243" t="s">
        <v>837</v>
      </c>
      <c r="B357" s="243" t="s">
        <v>651</v>
      </c>
      <c r="C357" s="244" t="s">
        <v>838</v>
      </c>
      <c r="D357" s="245" t="b">
        <v>1</v>
      </c>
      <c r="E357" s="245" t="b">
        <v>1</v>
      </c>
      <c r="F357" s="246" t="b">
        <v>0</v>
      </c>
      <c r="G357" s="246" t="b">
        <v>0</v>
      </c>
      <c r="H357" s="246" t="b">
        <v>0</v>
      </c>
      <c r="I357" s="246" t="b">
        <v>0</v>
      </c>
    </row>
    <row r="358" spans="1:9">
      <c r="A358" s="258" t="s">
        <v>1080</v>
      </c>
      <c r="B358" s="243" t="s">
        <v>651</v>
      </c>
      <c r="C358" s="257" t="s">
        <v>1129</v>
      </c>
      <c r="D358" s="245" t="b">
        <v>1</v>
      </c>
      <c r="E358" s="246" t="b">
        <v>0</v>
      </c>
      <c r="F358" s="246" t="b">
        <v>0</v>
      </c>
      <c r="G358" s="246" t="b">
        <v>0</v>
      </c>
      <c r="H358" s="246" t="b">
        <v>0</v>
      </c>
      <c r="I358" s="246" t="b">
        <v>0</v>
      </c>
    </row>
    <row r="359" spans="1:9">
      <c r="A359" s="258" t="s">
        <v>967</v>
      </c>
      <c r="B359" s="243" t="s">
        <v>651</v>
      </c>
      <c r="C359" s="257" t="s">
        <v>1130</v>
      </c>
      <c r="D359" s="245" t="b">
        <v>1</v>
      </c>
      <c r="E359" s="246" t="b">
        <v>0</v>
      </c>
      <c r="F359" s="246" t="b">
        <v>0</v>
      </c>
      <c r="G359" s="246" t="b">
        <v>0</v>
      </c>
      <c r="H359" s="246" t="b">
        <v>0</v>
      </c>
      <c r="I359" s="246" t="b">
        <v>0</v>
      </c>
    </row>
    <row r="360" spans="1:9">
      <c r="A360" s="258" t="s">
        <v>1081</v>
      </c>
      <c r="B360" s="243" t="s">
        <v>651</v>
      </c>
      <c r="C360" s="257" t="s">
        <v>1131</v>
      </c>
      <c r="D360" s="245" t="b">
        <v>1</v>
      </c>
      <c r="E360" s="246" t="b">
        <v>0</v>
      </c>
      <c r="F360" s="246" t="b">
        <v>0</v>
      </c>
      <c r="G360" s="246" t="b">
        <v>0</v>
      </c>
      <c r="H360" s="246" t="b">
        <v>0</v>
      </c>
      <c r="I360" s="246" t="b">
        <v>0</v>
      </c>
    </row>
    <row r="361" spans="1:9">
      <c r="A361" s="258" t="s">
        <v>1082</v>
      </c>
      <c r="B361" s="243" t="s">
        <v>651</v>
      </c>
      <c r="C361" s="257" t="s">
        <v>1132</v>
      </c>
      <c r="D361" s="245" t="b">
        <v>1</v>
      </c>
      <c r="E361" s="245" t="b">
        <v>1</v>
      </c>
      <c r="F361" s="246" t="b">
        <v>0</v>
      </c>
      <c r="G361" s="246" t="b">
        <v>0</v>
      </c>
      <c r="H361" s="246" t="b">
        <v>0</v>
      </c>
      <c r="I361" s="246" t="b">
        <v>0</v>
      </c>
    </row>
    <row r="362" spans="1:9">
      <c r="A362" s="258" t="s">
        <v>1083</v>
      </c>
      <c r="B362" s="243" t="s">
        <v>651</v>
      </c>
      <c r="C362" s="257" t="s">
        <v>1133</v>
      </c>
      <c r="D362" s="245" t="b">
        <v>1</v>
      </c>
      <c r="E362" s="246" t="b">
        <v>0</v>
      </c>
      <c r="F362" s="246" t="b">
        <v>0</v>
      </c>
      <c r="G362" s="246" t="b">
        <v>0</v>
      </c>
      <c r="H362" s="246" t="b">
        <v>0</v>
      </c>
      <c r="I362" s="246" t="b">
        <v>0</v>
      </c>
    </row>
    <row r="363" spans="1:9" ht="15">
      <c r="A363" s="259" t="s">
        <v>1157</v>
      </c>
      <c r="B363" s="243" t="s">
        <v>651</v>
      </c>
      <c r="C363" s="239" t="s">
        <v>1151</v>
      </c>
      <c r="D363" s="245" t="b">
        <v>1</v>
      </c>
      <c r="E363" s="246" t="b">
        <v>0</v>
      </c>
      <c r="F363" s="246" t="b">
        <v>0</v>
      </c>
      <c r="G363" s="246" t="b">
        <v>0</v>
      </c>
      <c r="H363" s="246" t="b">
        <v>0</v>
      </c>
      <c r="I363" s="246" t="b">
        <v>0</v>
      </c>
    </row>
    <row r="364" spans="1:9">
      <c r="A364" s="243" t="s">
        <v>839</v>
      </c>
      <c r="B364" s="243" t="s">
        <v>806</v>
      </c>
      <c r="C364" s="244" t="s">
        <v>840</v>
      </c>
      <c r="D364" s="245" t="b">
        <v>0</v>
      </c>
      <c r="E364" s="245" t="b">
        <v>0</v>
      </c>
      <c r="F364" s="246" t="b">
        <v>1</v>
      </c>
      <c r="G364" s="246" t="b">
        <v>1</v>
      </c>
      <c r="H364" s="246" t="b">
        <v>1</v>
      </c>
      <c r="I364" s="246" t="b">
        <v>1</v>
      </c>
    </row>
    <row r="365" spans="1:9">
      <c r="A365" s="243" t="s">
        <v>841</v>
      </c>
      <c r="B365" s="243" t="s">
        <v>702</v>
      </c>
      <c r="C365" s="244" t="s">
        <v>842</v>
      </c>
      <c r="D365" s="245" t="b">
        <v>0</v>
      </c>
      <c r="E365" s="245" t="b">
        <v>0</v>
      </c>
      <c r="F365" s="246" t="b">
        <v>0</v>
      </c>
      <c r="G365" s="246" t="b">
        <v>0</v>
      </c>
      <c r="H365" s="246" t="b">
        <v>0</v>
      </c>
      <c r="I365" s="246" t="b">
        <v>0</v>
      </c>
    </row>
    <row r="366" spans="1:9">
      <c r="A366" s="243" t="s">
        <v>696</v>
      </c>
      <c r="B366" s="243" t="s">
        <v>697</v>
      </c>
      <c r="C366" s="244" t="s">
        <v>698</v>
      </c>
      <c r="D366" s="245" t="b">
        <v>0</v>
      </c>
      <c r="E366" s="245" t="b">
        <v>0</v>
      </c>
      <c r="F366" s="246" t="b">
        <v>0</v>
      </c>
      <c r="G366" s="246" t="b">
        <v>0</v>
      </c>
      <c r="H366" s="246" t="b">
        <v>0</v>
      </c>
      <c r="I366" s="246" t="b">
        <v>0</v>
      </c>
    </row>
    <row r="367" spans="1:9">
      <c r="A367" s="243" t="s">
        <v>699</v>
      </c>
      <c r="B367" s="243" t="s">
        <v>697</v>
      </c>
      <c r="C367" s="244" t="s">
        <v>700</v>
      </c>
      <c r="D367" s="245" t="b">
        <v>0</v>
      </c>
      <c r="E367" s="245" t="b">
        <v>0</v>
      </c>
      <c r="F367" s="246" t="b">
        <v>0</v>
      </c>
      <c r="G367" s="246" t="b">
        <v>0</v>
      </c>
      <c r="H367" s="246" t="b">
        <v>0</v>
      </c>
      <c r="I367" s="246" t="b">
        <v>0</v>
      </c>
    </row>
    <row r="368" spans="1:9">
      <c r="A368" s="243" t="s">
        <v>70</v>
      </c>
      <c r="B368" s="243" t="s">
        <v>108</v>
      </c>
      <c r="C368" s="244" t="s">
        <v>701</v>
      </c>
      <c r="D368" s="245" t="b">
        <v>1</v>
      </c>
      <c r="E368" s="245" t="b">
        <v>1</v>
      </c>
      <c r="F368" s="246" t="b">
        <v>0</v>
      </c>
      <c r="G368" s="246" t="b">
        <v>0</v>
      </c>
      <c r="H368" s="246" t="b">
        <v>0</v>
      </c>
      <c r="I368" s="246" t="b">
        <v>0</v>
      </c>
    </row>
    <row r="369" spans="1:9">
      <c r="A369" s="243" t="s">
        <v>843</v>
      </c>
      <c r="B369" s="243" t="s">
        <v>697</v>
      </c>
      <c r="C369" s="244" t="s">
        <v>844</v>
      </c>
      <c r="D369" s="245" t="b">
        <v>0</v>
      </c>
      <c r="E369" s="245" t="b">
        <v>0</v>
      </c>
      <c r="F369" s="246" t="b">
        <v>0</v>
      </c>
      <c r="G369" s="246" t="b">
        <v>0</v>
      </c>
      <c r="H369" s="246" t="b">
        <v>0</v>
      </c>
      <c r="I369" s="246" t="b">
        <v>0</v>
      </c>
    </row>
    <row r="370" spans="1:9">
      <c r="A370" s="243" t="s">
        <v>845</v>
      </c>
      <c r="B370" s="243" t="s">
        <v>697</v>
      </c>
      <c r="C370" s="244" t="s">
        <v>846</v>
      </c>
      <c r="D370" s="245" t="b">
        <v>0</v>
      </c>
      <c r="E370" s="245" t="b">
        <v>0</v>
      </c>
      <c r="F370" s="246" t="b">
        <v>0</v>
      </c>
      <c r="G370" s="246" t="b">
        <v>0</v>
      </c>
      <c r="H370" s="246" t="b">
        <v>0</v>
      </c>
      <c r="I370" s="246" t="b">
        <v>0</v>
      </c>
    </row>
    <row r="371" spans="1:9">
      <c r="A371" s="243" t="s">
        <v>847</v>
      </c>
      <c r="B371" s="243" t="s">
        <v>697</v>
      </c>
      <c r="C371" s="244" t="s">
        <v>848</v>
      </c>
      <c r="D371" s="245" t="b">
        <v>0</v>
      </c>
      <c r="E371" s="245" t="b">
        <v>0</v>
      </c>
      <c r="F371" s="246" t="b">
        <v>0</v>
      </c>
      <c r="G371" s="246" t="b">
        <v>0</v>
      </c>
      <c r="H371" s="246" t="b">
        <v>0</v>
      </c>
      <c r="I371" s="246" t="b">
        <v>0</v>
      </c>
    </row>
    <row r="372" spans="1:9">
      <c r="A372" s="243" t="s">
        <v>849</v>
      </c>
      <c r="B372" s="243" t="s">
        <v>697</v>
      </c>
      <c r="C372" s="244" t="s">
        <v>850</v>
      </c>
      <c r="D372" s="245" t="b">
        <v>0</v>
      </c>
      <c r="E372" s="245" t="b">
        <v>0</v>
      </c>
      <c r="F372" s="246" t="b">
        <v>0</v>
      </c>
      <c r="G372" s="246" t="b">
        <v>0</v>
      </c>
      <c r="H372" s="246" t="b">
        <v>0</v>
      </c>
      <c r="I372" s="246" t="b">
        <v>0</v>
      </c>
    </row>
    <row r="373" spans="1:9">
      <c r="A373" s="243" t="s">
        <v>851</v>
      </c>
      <c r="B373" s="243" t="s">
        <v>705</v>
      </c>
      <c r="C373" s="244" t="s">
        <v>852</v>
      </c>
      <c r="D373" s="245" t="b">
        <v>0</v>
      </c>
      <c r="E373" s="245" t="b">
        <v>0</v>
      </c>
      <c r="F373" s="246" t="b">
        <v>0</v>
      </c>
      <c r="G373" s="246" t="b">
        <v>0</v>
      </c>
      <c r="H373" s="246" t="b">
        <v>0</v>
      </c>
      <c r="I373" s="246" t="b">
        <v>0</v>
      </c>
    </row>
    <row r="374" spans="1:9">
      <c r="A374" s="243" t="s">
        <v>853</v>
      </c>
      <c r="B374" s="243" t="s">
        <v>781</v>
      </c>
      <c r="C374" s="244" t="s">
        <v>854</v>
      </c>
      <c r="D374" s="245" t="b">
        <v>0</v>
      </c>
      <c r="E374" s="245" t="b">
        <v>0</v>
      </c>
      <c r="F374" s="246" t="b">
        <v>0</v>
      </c>
      <c r="G374" s="246" t="b">
        <v>0</v>
      </c>
      <c r="H374" s="246" t="b">
        <v>0</v>
      </c>
      <c r="I374" s="246" t="b">
        <v>0</v>
      </c>
    </row>
    <row r="375" spans="1:9">
      <c r="A375" s="243" t="s">
        <v>855</v>
      </c>
      <c r="B375" s="243" t="s">
        <v>781</v>
      </c>
      <c r="C375" s="244" t="s">
        <v>856</v>
      </c>
      <c r="D375" s="245" t="b">
        <v>0</v>
      </c>
      <c r="E375" s="245" t="b">
        <v>0</v>
      </c>
      <c r="F375" s="246" t="b">
        <v>0</v>
      </c>
      <c r="G375" s="246" t="b">
        <v>0</v>
      </c>
      <c r="H375" s="246" t="b">
        <v>0</v>
      </c>
      <c r="I375" s="246" t="b">
        <v>0</v>
      </c>
    </row>
    <row r="376" spans="1:9">
      <c r="A376" s="243" t="s">
        <v>857</v>
      </c>
      <c r="B376" s="243" t="s">
        <v>781</v>
      </c>
      <c r="C376" s="244" t="s">
        <v>858</v>
      </c>
      <c r="D376" s="245" t="b">
        <v>0</v>
      </c>
      <c r="E376" s="245" t="b">
        <v>0</v>
      </c>
      <c r="F376" s="246" t="b">
        <v>0</v>
      </c>
      <c r="G376" s="246" t="b">
        <v>0</v>
      </c>
      <c r="H376" s="246" t="b">
        <v>0</v>
      </c>
      <c r="I376" s="246" t="b">
        <v>0</v>
      </c>
    </row>
    <row r="377" spans="1:9">
      <c r="A377" s="243" t="s">
        <v>859</v>
      </c>
      <c r="B377" s="243" t="s">
        <v>781</v>
      </c>
      <c r="C377" s="244" t="s">
        <v>860</v>
      </c>
      <c r="D377" s="245" t="b">
        <v>0</v>
      </c>
      <c r="E377" s="245" t="b">
        <v>0</v>
      </c>
      <c r="F377" s="246" t="b">
        <v>0</v>
      </c>
      <c r="G377" s="246" t="b">
        <v>0</v>
      </c>
      <c r="H377" s="246" t="b">
        <v>0</v>
      </c>
      <c r="I377" s="246" t="b">
        <v>0</v>
      </c>
    </row>
    <row r="378" spans="1:9">
      <c r="A378" s="243" t="s">
        <v>861</v>
      </c>
      <c r="B378" s="243" t="s">
        <v>781</v>
      </c>
      <c r="C378" s="244" t="s">
        <v>862</v>
      </c>
      <c r="D378" s="245" t="b">
        <v>0</v>
      </c>
      <c r="E378" s="245" t="b">
        <v>0</v>
      </c>
      <c r="F378" s="246" t="b">
        <v>0</v>
      </c>
      <c r="G378" s="246" t="b">
        <v>0</v>
      </c>
      <c r="H378" s="246" t="b">
        <v>0</v>
      </c>
      <c r="I378" s="246" t="b">
        <v>0</v>
      </c>
    </row>
    <row r="379" spans="1:9">
      <c r="A379" s="243" t="s">
        <v>863</v>
      </c>
      <c r="B379" s="243" t="s">
        <v>781</v>
      </c>
      <c r="C379" s="244" t="s">
        <v>864</v>
      </c>
      <c r="D379" s="245" t="b">
        <v>0</v>
      </c>
      <c r="E379" s="245" t="b">
        <v>0</v>
      </c>
      <c r="F379" s="246" t="b">
        <v>0</v>
      </c>
      <c r="G379" s="246" t="b">
        <v>0</v>
      </c>
      <c r="H379" s="246" t="b">
        <v>0</v>
      </c>
      <c r="I379" s="246" t="b">
        <v>0</v>
      </c>
    </row>
    <row r="380" spans="1:9">
      <c r="A380" s="243" t="s">
        <v>865</v>
      </c>
      <c r="B380" s="243" t="s">
        <v>781</v>
      </c>
      <c r="C380" s="244" t="s">
        <v>866</v>
      </c>
      <c r="D380" s="245" t="b">
        <v>0</v>
      </c>
      <c r="E380" s="245" t="b">
        <v>0</v>
      </c>
      <c r="F380" s="246" t="b">
        <v>0</v>
      </c>
      <c r="G380" s="246" t="b">
        <v>0</v>
      </c>
      <c r="H380" s="246" t="b">
        <v>0</v>
      </c>
      <c r="I380" s="246" t="b">
        <v>0</v>
      </c>
    </row>
    <row r="381" spans="1:9">
      <c r="A381" s="243" t="s">
        <v>867</v>
      </c>
      <c r="B381" s="243" t="s">
        <v>781</v>
      </c>
      <c r="C381" s="244" t="s">
        <v>868</v>
      </c>
      <c r="D381" s="245" t="b">
        <v>0</v>
      </c>
      <c r="E381" s="245" t="b">
        <v>0</v>
      </c>
      <c r="F381" s="246" t="b">
        <v>0</v>
      </c>
      <c r="G381" s="246" t="b">
        <v>0</v>
      </c>
      <c r="H381" s="246" t="b">
        <v>0</v>
      </c>
      <c r="I381" s="246" t="b">
        <v>0</v>
      </c>
    </row>
    <row r="382" spans="1:9">
      <c r="A382" s="243" t="s">
        <v>869</v>
      </c>
      <c r="B382" s="243" t="s">
        <v>781</v>
      </c>
      <c r="C382" s="244" t="s">
        <v>870</v>
      </c>
      <c r="D382" s="245" t="b">
        <v>0</v>
      </c>
      <c r="E382" s="245" t="b">
        <v>0</v>
      </c>
      <c r="F382" s="246" t="b">
        <v>0</v>
      </c>
      <c r="G382" s="246" t="b">
        <v>0</v>
      </c>
      <c r="H382" s="246" t="b">
        <v>0</v>
      </c>
      <c r="I382" s="246" t="b">
        <v>0</v>
      </c>
    </row>
    <row r="383" spans="1:9">
      <c r="A383" s="243" t="s">
        <v>871</v>
      </c>
      <c r="B383" s="243" t="s">
        <v>781</v>
      </c>
      <c r="C383" s="244" t="s">
        <v>872</v>
      </c>
      <c r="D383" s="245" t="b">
        <v>0</v>
      </c>
      <c r="E383" s="245" t="b">
        <v>0</v>
      </c>
      <c r="F383" s="246" t="b">
        <v>0</v>
      </c>
      <c r="G383" s="246" t="b">
        <v>0</v>
      </c>
      <c r="H383" s="246" t="b">
        <v>0</v>
      </c>
      <c r="I383" s="246" t="b">
        <v>0</v>
      </c>
    </row>
    <row r="384" spans="1:9">
      <c r="A384" s="243" t="s">
        <v>873</v>
      </c>
      <c r="B384" s="243" t="s">
        <v>781</v>
      </c>
      <c r="C384" s="244" t="s">
        <v>874</v>
      </c>
      <c r="D384" s="245" t="b">
        <v>0</v>
      </c>
      <c r="E384" s="245" t="b">
        <v>0</v>
      </c>
      <c r="F384" s="246" t="b">
        <v>0</v>
      </c>
      <c r="G384" s="246" t="b">
        <v>0</v>
      </c>
      <c r="H384" s="246" t="b">
        <v>0</v>
      </c>
      <c r="I384" s="246" t="b">
        <v>0</v>
      </c>
    </row>
    <row r="385" spans="1:9">
      <c r="A385" s="243" t="s">
        <v>875</v>
      </c>
      <c r="B385" s="243" t="s">
        <v>781</v>
      </c>
      <c r="C385" s="244" t="s">
        <v>876</v>
      </c>
      <c r="D385" s="245" t="b">
        <v>0</v>
      </c>
      <c r="E385" s="245" t="b">
        <v>0</v>
      </c>
      <c r="F385" s="246" t="b">
        <v>0</v>
      </c>
      <c r="G385" s="246" t="b">
        <v>0</v>
      </c>
      <c r="H385" s="246" t="b">
        <v>0</v>
      </c>
      <c r="I385" s="246" t="b">
        <v>0</v>
      </c>
    </row>
    <row r="386" spans="1:9">
      <c r="A386" s="243" t="s">
        <v>877</v>
      </c>
      <c r="B386" s="243" t="s">
        <v>781</v>
      </c>
      <c r="C386" s="244" t="s">
        <v>878</v>
      </c>
      <c r="D386" s="245" t="b">
        <v>0</v>
      </c>
      <c r="E386" s="245" t="b">
        <v>0</v>
      </c>
      <c r="F386" s="246" t="b">
        <v>0</v>
      </c>
      <c r="G386" s="246" t="b">
        <v>0</v>
      </c>
      <c r="H386" s="246" t="b">
        <v>0</v>
      </c>
      <c r="I386" s="246" t="b">
        <v>0</v>
      </c>
    </row>
    <row r="387" spans="1:9">
      <c r="A387" s="243" t="s">
        <v>879</v>
      </c>
      <c r="B387" s="243" t="s">
        <v>711</v>
      </c>
      <c r="C387" s="244" t="s">
        <v>880</v>
      </c>
      <c r="D387" s="245" t="b">
        <v>0</v>
      </c>
      <c r="E387" s="245" t="b">
        <v>0</v>
      </c>
      <c r="F387" s="246" t="b">
        <v>0</v>
      </c>
      <c r="G387" s="246" t="b">
        <v>0</v>
      </c>
      <c r="H387" s="246" t="b">
        <v>0</v>
      </c>
      <c r="I387" s="246" t="b">
        <v>0</v>
      </c>
    </row>
    <row r="388" spans="1:9">
      <c r="A388" s="243" t="s">
        <v>881</v>
      </c>
      <c r="B388" s="243" t="s">
        <v>702</v>
      </c>
      <c r="C388" s="244" t="s">
        <v>882</v>
      </c>
      <c r="D388" s="245" t="b">
        <v>0</v>
      </c>
      <c r="E388" s="245" t="b">
        <v>0</v>
      </c>
      <c r="F388" s="246" t="b">
        <v>0</v>
      </c>
      <c r="G388" s="246" t="b">
        <v>0</v>
      </c>
      <c r="H388" s="246" t="b">
        <v>0</v>
      </c>
      <c r="I388" s="246" t="b">
        <v>0</v>
      </c>
    </row>
    <row r="389" spans="1:9">
      <c r="A389" s="243" t="s">
        <v>204</v>
      </c>
      <c r="B389" s="243" t="s">
        <v>702</v>
      </c>
      <c r="C389" s="244" t="s">
        <v>883</v>
      </c>
      <c r="D389" s="245" t="b">
        <v>0</v>
      </c>
      <c r="E389" s="245" t="b">
        <v>0</v>
      </c>
      <c r="F389" s="246" t="b">
        <v>1</v>
      </c>
      <c r="G389" s="246" t="b">
        <v>1</v>
      </c>
      <c r="H389" s="246" t="b">
        <v>1</v>
      </c>
      <c r="I389" s="246" t="b">
        <v>1</v>
      </c>
    </row>
    <row r="390" spans="1:9">
      <c r="A390" s="243" t="s">
        <v>884</v>
      </c>
      <c r="B390" s="243" t="s">
        <v>703</v>
      </c>
      <c r="C390" s="244" t="s">
        <v>885</v>
      </c>
      <c r="D390" s="245" t="b">
        <v>0</v>
      </c>
      <c r="E390" s="245" t="b">
        <v>0</v>
      </c>
      <c r="F390" s="246" t="b">
        <v>0</v>
      </c>
      <c r="G390" s="246" t="b">
        <v>0</v>
      </c>
      <c r="H390" s="246" t="b">
        <v>1</v>
      </c>
      <c r="I390" s="246" t="b">
        <v>1</v>
      </c>
    </row>
    <row r="391" spans="1:9">
      <c r="A391" s="243" t="s">
        <v>886</v>
      </c>
      <c r="B391" s="243" t="s">
        <v>703</v>
      </c>
      <c r="C391" s="244" t="s">
        <v>887</v>
      </c>
      <c r="D391" s="245" t="b">
        <v>0</v>
      </c>
      <c r="E391" s="245" t="b">
        <v>0</v>
      </c>
      <c r="F391" s="246" t="b">
        <v>0</v>
      </c>
      <c r="G391" s="246" t="b">
        <v>0</v>
      </c>
      <c r="H391" s="246" t="b">
        <v>1</v>
      </c>
      <c r="I391" s="246" t="b">
        <v>1</v>
      </c>
    </row>
    <row r="392" spans="1:9">
      <c r="A392" s="243" t="s">
        <v>888</v>
      </c>
      <c r="B392" s="243" t="s">
        <v>703</v>
      </c>
      <c r="C392" s="244" t="s">
        <v>889</v>
      </c>
      <c r="D392" s="245" t="b">
        <v>0</v>
      </c>
      <c r="E392" s="245" t="b">
        <v>0</v>
      </c>
      <c r="F392" s="246" t="b">
        <v>0</v>
      </c>
      <c r="G392" s="246" t="b">
        <v>0</v>
      </c>
      <c r="H392" s="246" t="b">
        <v>1</v>
      </c>
      <c r="I392" s="246" t="b">
        <v>1</v>
      </c>
    </row>
    <row r="393" spans="1:9">
      <c r="A393" s="243" t="s">
        <v>890</v>
      </c>
      <c r="B393" s="243" t="s">
        <v>703</v>
      </c>
      <c r="C393" s="244" t="s">
        <v>891</v>
      </c>
      <c r="D393" s="245" t="b">
        <v>0</v>
      </c>
      <c r="E393" s="245" t="b">
        <v>0</v>
      </c>
      <c r="F393" s="246" t="b">
        <v>0</v>
      </c>
      <c r="G393" s="246" t="b">
        <v>0</v>
      </c>
      <c r="H393" s="246" t="b">
        <v>1</v>
      </c>
      <c r="I393" s="246" t="b">
        <v>1</v>
      </c>
    </row>
    <row r="394" spans="1:9">
      <c r="A394" s="243" t="s">
        <v>892</v>
      </c>
      <c r="B394" s="243" t="s">
        <v>703</v>
      </c>
      <c r="C394" s="244" t="s">
        <v>893</v>
      </c>
      <c r="D394" s="245" t="b">
        <v>0</v>
      </c>
      <c r="E394" s="245" t="b">
        <v>0</v>
      </c>
      <c r="F394" s="246" t="b">
        <v>0</v>
      </c>
      <c r="G394" s="246" t="b">
        <v>0</v>
      </c>
      <c r="H394" s="246" t="b">
        <v>1</v>
      </c>
      <c r="I394" s="246" t="b">
        <v>1</v>
      </c>
    </row>
    <row r="395" spans="1:9">
      <c r="A395" s="243" t="s">
        <v>894</v>
      </c>
      <c r="B395" s="243" t="s">
        <v>697</v>
      </c>
      <c r="C395" s="244" t="s">
        <v>702</v>
      </c>
      <c r="D395" s="245" t="b">
        <v>0</v>
      </c>
      <c r="E395" s="245" t="b">
        <v>0</v>
      </c>
      <c r="F395" s="246" t="b">
        <v>0</v>
      </c>
      <c r="G395" s="246" t="b">
        <v>0</v>
      </c>
      <c r="H395" s="246" t="b">
        <v>0</v>
      </c>
      <c r="I395" s="246" t="b">
        <v>0</v>
      </c>
    </row>
    <row r="396" spans="1:9">
      <c r="A396" s="243" t="s">
        <v>704</v>
      </c>
      <c r="B396" s="243" t="s">
        <v>702</v>
      </c>
      <c r="C396" s="244" t="s">
        <v>705</v>
      </c>
      <c r="D396" s="245" t="b">
        <v>0</v>
      </c>
      <c r="E396" s="245" t="b">
        <v>0</v>
      </c>
      <c r="F396" s="246" t="b">
        <v>0</v>
      </c>
      <c r="G396" s="246" t="b">
        <v>0</v>
      </c>
      <c r="H396" s="246" t="b">
        <v>0</v>
      </c>
      <c r="I396" s="246" t="b">
        <v>0</v>
      </c>
    </row>
    <row r="397" spans="1:9">
      <c r="A397" s="243" t="s">
        <v>706</v>
      </c>
      <c r="B397" s="243" t="s">
        <v>707</v>
      </c>
      <c r="C397" s="244" t="s">
        <v>707</v>
      </c>
      <c r="D397" s="245" t="b">
        <v>0</v>
      </c>
      <c r="E397" s="245" t="b">
        <v>0</v>
      </c>
      <c r="F397" s="246" t="b">
        <v>1</v>
      </c>
      <c r="G397" s="246" t="b">
        <v>0</v>
      </c>
      <c r="H397" s="246" t="b">
        <v>0</v>
      </c>
      <c r="I397" s="246" t="b">
        <v>0</v>
      </c>
    </row>
    <row r="398" spans="1:9">
      <c r="A398" s="243" t="s">
        <v>895</v>
      </c>
      <c r="B398" s="243" t="s">
        <v>702</v>
      </c>
      <c r="C398" s="244" t="s">
        <v>781</v>
      </c>
      <c r="D398" s="245" t="b">
        <v>0</v>
      </c>
      <c r="E398" s="245" t="b">
        <v>0</v>
      </c>
      <c r="F398" s="246" t="b">
        <v>0</v>
      </c>
      <c r="G398" s="246" t="b">
        <v>0</v>
      </c>
      <c r="H398" s="246" t="b">
        <v>0</v>
      </c>
      <c r="I398" s="246" t="b">
        <v>0</v>
      </c>
    </row>
    <row r="399" spans="1:9">
      <c r="A399" s="243" t="s">
        <v>708</v>
      </c>
      <c r="B399" s="243" t="s">
        <v>702</v>
      </c>
      <c r="C399" s="244" t="s">
        <v>709</v>
      </c>
      <c r="D399" s="245" t="b">
        <v>0</v>
      </c>
      <c r="E399" s="245" t="b">
        <v>0</v>
      </c>
      <c r="F399" s="246" t="b">
        <v>0</v>
      </c>
      <c r="G399" s="246" t="b">
        <v>0</v>
      </c>
      <c r="H399" s="246" t="b">
        <v>0</v>
      </c>
      <c r="I399" s="246" t="b">
        <v>0</v>
      </c>
    </row>
    <row r="400" spans="1:9">
      <c r="A400" s="243" t="s">
        <v>710</v>
      </c>
      <c r="B400" s="243" t="s">
        <v>702</v>
      </c>
      <c r="C400" s="244" t="s">
        <v>711</v>
      </c>
      <c r="D400" s="245" t="b">
        <v>0</v>
      </c>
      <c r="E400" s="245" t="b">
        <v>0</v>
      </c>
      <c r="F400" s="246" t="b">
        <v>0</v>
      </c>
      <c r="G400" s="246" t="b">
        <v>0</v>
      </c>
      <c r="H400" s="246" t="b">
        <v>0</v>
      </c>
      <c r="I400" s="246" t="b">
        <v>0</v>
      </c>
    </row>
    <row r="401" spans="1:9">
      <c r="A401" s="243" t="s">
        <v>712</v>
      </c>
      <c r="B401" s="243" t="s">
        <v>702</v>
      </c>
      <c r="C401" s="244" t="s">
        <v>896</v>
      </c>
      <c r="D401" s="245" t="b">
        <v>0</v>
      </c>
      <c r="E401" s="245" t="b">
        <v>0</v>
      </c>
      <c r="F401" s="246" t="b">
        <v>0</v>
      </c>
      <c r="G401" s="246" t="b">
        <v>0</v>
      </c>
      <c r="H401" s="246" t="b">
        <v>0</v>
      </c>
      <c r="I401" s="246" t="b">
        <v>0</v>
      </c>
    </row>
    <row r="402" spans="1:9">
      <c r="A402" s="243" t="s">
        <v>713</v>
      </c>
      <c r="B402" s="243" t="s">
        <v>702</v>
      </c>
      <c r="C402" s="244" t="s">
        <v>714</v>
      </c>
      <c r="D402" s="245" t="b">
        <v>0</v>
      </c>
      <c r="E402" s="245" t="b">
        <v>0</v>
      </c>
      <c r="F402" s="246" t="b">
        <v>0</v>
      </c>
      <c r="G402" s="246" t="b">
        <v>0</v>
      </c>
      <c r="H402" s="246" t="b">
        <v>0</v>
      </c>
      <c r="I402" s="246" t="b">
        <v>0</v>
      </c>
    </row>
    <row r="403" spans="1:9">
      <c r="A403" s="243" t="s">
        <v>897</v>
      </c>
      <c r="B403" s="243" t="s">
        <v>702</v>
      </c>
      <c r="C403" s="244" t="s">
        <v>898</v>
      </c>
      <c r="D403" s="245" t="b">
        <v>0</v>
      </c>
      <c r="E403" s="245" t="b">
        <v>0</v>
      </c>
      <c r="F403" s="246" t="b">
        <v>0</v>
      </c>
      <c r="G403" s="246" t="b">
        <v>0</v>
      </c>
      <c r="H403" s="246" t="b">
        <v>0</v>
      </c>
      <c r="I403" s="246" t="b">
        <v>0</v>
      </c>
    </row>
    <row r="404" spans="1:9">
      <c r="A404" s="243" t="s">
        <v>208</v>
      </c>
      <c r="B404" s="243" t="s">
        <v>702</v>
      </c>
      <c r="C404" s="244" t="s">
        <v>715</v>
      </c>
      <c r="D404" s="245" t="b">
        <v>0</v>
      </c>
      <c r="E404" s="245" t="b">
        <v>0</v>
      </c>
      <c r="F404" s="246" t="b">
        <v>0</v>
      </c>
      <c r="G404" s="246" t="b">
        <v>0</v>
      </c>
      <c r="H404" s="246" t="b">
        <v>0</v>
      </c>
      <c r="I404" s="246" t="b">
        <v>0</v>
      </c>
    </row>
    <row r="405" spans="1:9">
      <c r="A405" s="243" t="s">
        <v>716</v>
      </c>
      <c r="B405" s="243" t="s">
        <v>702</v>
      </c>
      <c r="C405" s="244" t="s">
        <v>717</v>
      </c>
      <c r="D405" s="245" t="b">
        <v>0</v>
      </c>
      <c r="E405" s="245" t="b">
        <v>0</v>
      </c>
      <c r="F405" s="246" t="b">
        <v>0</v>
      </c>
      <c r="G405" s="246" t="b">
        <v>0</v>
      </c>
      <c r="H405" s="246" t="b">
        <v>0</v>
      </c>
      <c r="I405" s="246" t="b">
        <v>0</v>
      </c>
    </row>
    <row r="406" spans="1:9">
      <c r="A406" s="243" t="s">
        <v>718</v>
      </c>
      <c r="B406" s="243" t="s">
        <v>702</v>
      </c>
      <c r="C406" s="244" t="s">
        <v>719</v>
      </c>
      <c r="D406" s="245" t="b">
        <v>0</v>
      </c>
      <c r="E406" s="245" t="b">
        <v>0</v>
      </c>
      <c r="F406" s="246" t="b">
        <v>0</v>
      </c>
      <c r="G406" s="246" t="b">
        <v>0</v>
      </c>
      <c r="H406" s="246" t="b">
        <v>0</v>
      </c>
      <c r="I406" s="246" t="b">
        <v>0</v>
      </c>
    </row>
    <row r="407" spans="1:9">
      <c r="A407" s="243" t="s">
        <v>720</v>
      </c>
      <c r="B407" s="243" t="s">
        <v>707</v>
      </c>
      <c r="C407" s="244" t="s">
        <v>721</v>
      </c>
      <c r="D407" s="245" t="b">
        <v>0</v>
      </c>
      <c r="E407" s="245" t="b">
        <v>0</v>
      </c>
      <c r="F407" s="246" t="b">
        <v>1</v>
      </c>
      <c r="G407" s="246" t="b">
        <v>0</v>
      </c>
      <c r="H407" s="246" t="b">
        <v>0</v>
      </c>
      <c r="I407" s="246" t="b">
        <v>0</v>
      </c>
    </row>
    <row r="408" spans="1:9">
      <c r="A408" s="243" t="s">
        <v>899</v>
      </c>
      <c r="B408" s="243" t="s">
        <v>702</v>
      </c>
      <c r="C408" s="244" t="s">
        <v>900</v>
      </c>
      <c r="D408" s="245" t="b">
        <v>0</v>
      </c>
      <c r="E408" s="245" t="b">
        <v>0</v>
      </c>
      <c r="F408" s="246" t="b">
        <v>0</v>
      </c>
      <c r="G408" s="246" t="b">
        <v>0</v>
      </c>
      <c r="H408" s="246" t="b">
        <v>0</v>
      </c>
      <c r="I408" s="246" t="b">
        <v>0</v>
      </c>
    </row>
    <row r="409" spans="1:9">
      <c r="A409" s="243" t="s">
        <v>901</v>
      </c>
      <c r="B409" s="243" t="s">
        <v>702</v>
      </c>
      <c r="C409" s="244" t="s">
        <v>902</v>
      </c>
      <c r="D409" s="245" t="b">
        <v>0</v>
      </c>
      <c r="E409" s="245" t="b">
        <v>0</v>
      </c>
      <c r="F409" s="246" t="b">
        <v>0</v>
      </c>
      <c r="G409" s="246" t="b">
        <v>0</v>
      </c>
      <c r="H409" s="246" t="b">
        <v>0</v>
      </c>
      <c r="I409" s="246" t="b">
        <v>0</v>
      </c>
    </row>
    <row r="410" spans="1:9">
      <c r="A410" s="243" t="s">
        <v>903</v>
      </c>
      <c r="B410" s="243" t="s">
        <v>707</v>
      </c>
      <c r="C410" s="244" t="s">
        <v>904</v>
      </c>
      <c r="D410" s="245" t="b">
        <v>0</v>
      </c>
      <c r="E410" s="245" t="b">
        <v>0</v>
      </c>
      <c r="F410" s="246" t="b">
        <v>0</v>
      </c>
      <c r="G410" s="246" t="b">
        <v>0</v>
      </c>
      <c r="H410" s="246" t="b">
        <v>0</v>
      </c>
      <c r="I410" s="246" t="b">
        <v>0</v>
      </c>
    </row>
    <row r="411" spans="1:9">
      <c r="A411" s="243" t="s">
        <v>905</v>
      </c>
      <c r="B411" s="243" t="s">
        <v>697</v>
      </c>
      <c r="C411" s="244" t="s">
        <v>697</v>
      </c>
      <c r="D411" s="245" t="b">
        <v>0</v>
      </c>
      <c r="E411" s="245" t="b">
        <v>0</v>
      </c>
      <c r="F411" s="246" t="b">
        <v>0</v>
      </c>
      <c r="G411" s="246" t="b">
        <v>0</v>
      </c>
      <c r="H411" s="246" t="b">
        <v>0</v>
      </c>
      <c r="I411" s="246" t="b">
        <v>0</v>
      </c>
    </row>
    <row r="412" spans="1:9">
      <c r="A412" s="243" t="s">
        <v>906</v>
      </c>
      <c r="B412" s="243" t="s">
        <v>498</v>
      </c>
      <c r="C412" s="244" t="s">
        <v>907</v>
      </c>
      <c r="D412" s="245" t="b">
        <v>0</v>
      </c>
      <c r="E412" s="245" t="b">
        <v>0</v>
      </c>
      <c r="F412" s="246" t="b">
        <v>0</v>
      </c>
      <c r="G412" s="246" t="b">
        <v>0</v>
      </c>
      <c r="H412" s="246" t="b">
        <v>0</v>
      </c>
      <c r="I412" s="246" t="b">
        <v>0</v>
      </c>
    </row>
    <row r="413" spans="1:9">
      <c r="A413" s="243" t="s">
        <v>908</v>
      </c>
      <c r="B413" s="243" t="s">
        <v>498</v>
      </c>
      <c r="C413" s="244" t="s">
        <v>909</v>
      </c>
      <c r="D413" s="245" t="b">
        <v>0</v>
      </c>
      <c r="E413" s="245" t="b">
        <v>0</v>
      </c>
      <c r="F413" s="246" t="b">
        <v>0</v>
      </c>
      <c r="G413" s="246" t="b">
        <v>0</v>
      </c>
      <c r="H413" s="246" t="b">
        <v>0</v>
      </c>
      <c r="I413" s="246" t="b">
        <v>0</v>
      </c>
    </row>
    <row r="414" spans="1:9">
      <c r="A414" s="243" t="s">
        <v>910</v>
      </c>
      <c r="B414" s="243" t="s">
        <v>498</v>
      </c>
      <c r="C414" s="244" t="s">
        <v>911</v>
      </c>
      <c r="D414" s="245" t="b">
        <v>0</v>
      </c>
      <c r="E414" s="245" t="b">
        <v>0</v>
      </c>
      <c r="F414" s="246" t="b">
        <v>0</v>
      </c>
      <c r="G414" s="246" t="b">
        <v>0</v>
      </c>
      <c r="H414" s="246" t="b">
        <v>0</v>
      </c>
      <c r="I414" s="246" t="b">
        <v>0</v>
      </c>
    </row>
    <row r="415" spans="1:9">
      <c r="A415" s="243" t="s">
        <v>912</v>
      </c>
      <c r="B415" s="243" t="s">
        <v>806</v>
      </c>
      <c r="C415" s="244" t="s">
        <v>913</v>
      </c>
      <c r="D415" s="245" t="b">
        <v>0</v>
      </c>
      <c r="E415" s="245" t="b">
        <v>0</v>
      </c>
      <c r="F415" s="246" t="b">
        <v>0</v>
      </c>
      <c r="G415" s="246" t="b">
        <v>0</v>
      </c>
      <c r="H415" s="246" t="b">
        <v>0</v>
      </c>
      <c r="I415" s="246" t="b">
        <v>0</v>
      </c>
    </row>
    <row r="416" spans="1:9">
      <c r="A416" s="243" t="s">
        <v>914</v>
      </c>
      <c r="B416" s="243" t="s">
        <v>498</v>
      </c>
      <c r="C416" s="244" t="s">
        <v>915</v>
      </c>
      <c r="D416" s="245" t="b">
        <v>0</v>
      </c>
      <c r="E416" s="245" t="b">
        <v>0</v>
      </c>
      <c r="F416" s="246" t="b">
        <v>0</v>
      </c>
      <c r="G416" s="246" t="b">
        <v>0</v>
      </c>
      <c r="H416" s="246" t="b">
        <v>0</v>
      </c>
      <c r="I416" s="246" t="b">
        <v>0</v>
      </c>
    </row>
    <row r="417" spans="1:9">
      <c r="A417" s="243" t="s">
        <v>916</v>
      </c>
      <c r="B417" s="243" t="s">
        <v>498</v>
      </c>
      <c r="C417" s="244" t="s">
        <v>917</v>
      </c>
      <c r="D417" s="245" t="b">
        <v>0</v>
      </c>
      <c r="E417" s="245" t="b">
        <v>0</v>
      </c>
      <c r="F417" s="246" t="b">
        <v>0</v>
      </c>
      <c r="G417" s="246" t="b">
        <v>0</v>
      </c>
      <c r="H417" s="246" t="b">
        <v>0</v>
      </c>
      <c r="I417" s="246" t="b">
        <v>0</v>
      </c>
    </row>
    <row r="418" spans="1:9">
      <c r="A418" s="243" t="s">
        <v>918</v>
      </c>
      <c r="B418" s="243" t="s">
        <v>806</v>
      </c>
      <c r="C418" s="244" t="s">
        <v>919</v>
      </c>
      <c r="D418" s="245" t="b">
        <v>0</v>
      </c>
      <c r="E418" s="245" t="b">
        <v>0</v>
      </c>
      <c r="F418" s="246" t="b">
        <v>0</v>
      </c>
      <c r="G418" s="246" t="b">
        <v>0</v>
      </c>
      <c r="H418" s="246" t="b">
        <v>0</v>
      </c>
      <c r="I418" s="246" t="b">
        <v>0</v>
      </c>
    </row>
    <row r="419" spans="1:9">
      <c r="A419" s="243" t="s">
        <v>920</v>
      </c>
      <c r="B419" s="243" t="s">
        <v>498</v>
      </c>
      <c r="C419" s="244" t="s">
        <v>921</v>
      </c>
      <c r="D419" s="245" t="b">
        <v>0</v>
      </c>
      <c r="E419" s="245" t="b">
        <v>0</v>
      </c>
      <c r="F419" s="246" t="b">
        <v>0</v>
      </c>
      <c r="G419" s="246" t="b">
        <v>0</v>
      </c>
      <c r="H419" s="246" t="b">
        <v>0</v>
      </c>
      <c r="I419" s="246" t="b">
        <v>0</v>
      </c>
    </row>
    <row r="420" spans="1:9">
      <c r="A420" s="243" t="s">
        <v>922</v>
      </c>
      <c r="B420" s="243" t="s">
        <v>498</v>
      </c>
      <c r="C420" s="244" t="s">
        <v>923</v>
      </c>
      <c r="D420" s="245" t="b">
        <v>0</v>
      </c>
      <c r="E420" s="245" t="b">
        <v>0</v>
      </c>
      <c r="F420" s="246" t="b">
        <v>0</v>
      </c>
      <c r="G420" s="246" t="b">
        <v>0</v>
      </c>
      <c r="H420" s="246" t="b">
        <v>0</v>
      </c>
      <c r="I420" s="246" t="b">
        <v>0</v>
      </c>
    </row>
    <row r="421" spans="1:9">
      <c r="A421" s="243" t="s">
        <v>924</v>
      </c>
      <c r="B421" s="243" t="s">
        <v>806</v>
      </c>
      <c r="C421" s="244" t="s">
        <v>925</v>
      </c>
      <c r="D421" s="245" t="b">
        <v>0</v>
      </c>
      <c r="E421" s="245" t="b">
        <v>0</v>
      </c>
      <c r="F421" s="246" t="b">
        <v>0</v>
      </c>
      <c r="G421" s="246" t="b">
        <v>0</v>
      </c>
      <c r="H421" s="246" t="b">
        <v>0</v>
      </c>
      <c r="I421" s="246" t="b">
        <v>0</v>
      </c>
    </row>
    <row r="422" spans="1:9">
      <c r="A422" s="243" t="s">
        <v>926</v>
      </c>
      <c r="B422" s="243" t="s">
        <v>806</v>
      </c>
      <c r="C422" s="244" t="s">
        <v>927</v>
      </c>
      <c r="D422" s="245" t="b">
        <v>0</v>
      </c>
      <c r="E422" s="245" t="b">
        <v>0</v>
      </c>
      <c r="F422" s="246" t="b">
        <v>0</v>
      </c>
      <c r="G422" s="246" t="b">
        <v>0</v>
      </c>
      <c r="H422" s="246" t="b">
        <v>0</v>
      </c>
      <c r="I422" s="246" t="b">
        <v>0</v>
      </c>
    </row>
    <row r="423" spans="1:9">
      <c r="A423" s="243" t="s">
        <v>928</v>
      </c>
      <c r="B423" s="243" t="s">
        <v>498</v>
      </c>
      <c r="C423" s="244" t="s">
        <v>929</v>
      </c>
      <c r="D423" s="245" t="b">
        <v>0</v>
      </c>
      <c r="E423" s="245" t="b">
        <v>0</v>
      </c>
      <c r="F423" s="246" t="b">
        <v>0</v>
      </c>
      <c r="G423" s="246" t="b">
        <v>0</v>
      </c>
      <c r="H423" s="246" t="b">
        <v>0</v>
      </c>
      <c r="I423" s="246" t="b">
        <v>0</v>
      </c>
    </row>
    <row r="424" spans="1:9">
      <c r="A424" s="243" t="s">
        <v>930</v>
      </c>
      <c r="B424" s="243" t="s">
        <v>498</v>
      </c>
      <c r="C424" s="244" t="s">
        <v>931</v>
      </c>
      <c r="D424" s="245" t="b">
        <v>0</v>
      </c>
      <c r="E424" s="245" t="b">
        <v>0</v>
      </c>
      <c r="F424" s="246" t="b">
        <v>0</v>
      </c>
      <c r="G424" s="246" t="b">
        <v>0</v>
      </c>
      <c r="H424" s="246" t="b">
        <v>0</v>
      </c>
      <c r="I424" s="246" t="b">
        <v>0</v>
      </c>
    </row>
    <row r="425" spans="1:9">
      <c r="A425" s="243" t="s">
        <v>932</v>
      </c>
      <c r="B425" s="243" t="s">
        <v>806</v>
      </c>
      <c r="C425" s="244" t="s">
        <v>933</v>
      </c>
      <c r="D425" s="245" t="b">
        <v>0</v>
      </c>
      <c r="E425" s="245" t="b">
        <v>0</v>
      </c>
      <c r="F425" s="246" t="b">
        <v>0</v>
      </c>
      <c r="G425" s="246" t="b">
        <v>0</v>
      </c>
      <c r="H425" s="246" t="b">
        <v>0</v>
      </c>
      <c r="I425" s="246" t="b">
        <v>0</v>
      </c>
    </row>
    <row r="426" spans="1:9">
      <c r="A426" s="243" t="s">
        <v>934</v>
      </c>
      <c r="B426" s="243" t="s">
        <v>651</v>
      </c>
      <c r="C426" s="244" t="s">
        <v>935</v>
      </c>
      <c r="D426" s="245" t="b">
        <v>0</v>
      </c>
      <c r="E426" s="245" t="b">
        <v>0</v>
      </c>
      <c r="F426" s="246" t="b">
        <v>0</v>
      </c>
      <c r="G426" s="246" t="b">
        <v>0</v>
      </c>
      <c r="H426" s="246" t="b">
        <v>0</v>
      </c>
      <c r="I426" s="246" t="b">
        <v>0</v>
      </c>
    </row>
  </sheetData>
  <sheetProtection password="C887" sheet="1" objects="1" scenarios="1" selectLockedCells="1"/>
  <phoneticPr fontId="0" type="noConversion"/>
  <conditionalFormatting sqref="D1:I1 E402:E425 D426:E426 J1:J374 C430:I65536 D427:I429 D221:I221 D226:I226 F364:I426 D2:D425 E364:E400 E2:I363">
    <cfRule type="cellIs" dxfId="0" priority="1" stopIfTrue="1" operator="equal">
      <formula>TRUE</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Tour Application Form</vt:lpstr>
      <vt:lpstr>Tour Proposal</vt:lpstr>
      <vt:lpstr>Tour Budget</vt:lpstr>
      <vt:lpstr>Old defunct Budget</vt:lpstr>
      <vt:lpstr>Lists</vt:lpstr>
      <vt:lpstr>Clubs</vt:lpstr>
      <vt:lpstr>clubcode</vt:lpstr>
      <vt:lpstr>clubdetails</vt:lpstr>
      <vt:lpstr>CLubList</vt:lpstr>
      <vt:lpstr>compos</vt:lpstr>
      <vt:lpstr>'Tour Proposal'!Criteria</vt:lpstr>
      <vt:lpstr>datenum</vt:lpstr>
      <vt:lpstr>days</vt:lpstr>
      <vt:lpstr>ExpendHeads</vt:lpstr>
      <vt:lpstr>FlightSub</vt:lpstr>
      <vt:lpstr>IncomeHeads</vt:lpstr>
      <vt:lpstr>LastYear</vt:lpstr>
      <vt:lpstr>months</vt:lpstr>
      <vt:lpstr>number</vt:lpstr>
      <vt:lpstr>'Tour Application Form'!Print_Area</vt:lpstr>
      <vt:lpstr>ThisYear</vt:lpstr>
      <vt:lpstr>TOMS_Attendence</vt:lpstr>
      <vt:lpstr>TOMS_Capacity</vt:lpstr>
      <vt:lpstr>totexp</vt:lpstr>
      <vt:lpstr>tperiod</vt:lpstr>
      <vt:lpstr>tseason</vt:lpstr>
      <vt:lpstr>VAT</vt:lpstr>
      <vt:lpstr>VATrate</vt:lpstr>
      <vt:lpstr>years</vt:lpstr>
      <vt:lpstr>yesno</vt:lpstr>
      <vt:lpstr>yeynay</vt:lpstr>
    </vt:vector>
  </TitlesOfParts>
  <Company>Imperial College Union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Matthews</dc:creator>
  <cp:lastModifiedBy>rcoxhead</cp:lastModifiedBy>
  <cp:lastPrinted>2008-07-10T12:27:54Z</cp:lastPrinted>
  <dcterms:created xsi:type="dcterms:W3CDTF">2001-12-03T11:42:33Z</dcterms:created>
  <dcterms:modified xsi:type="dcterms:W3CDTF">2010-10-25T11:09:19Z</dcterms:modified>
</cp:coreProperties>
</file>